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/Users/mac/Myfiles/invest/excel/"/>
    </mc:Choice>
  </mc:AlternateContent>
  <xr:revisionPtr revIDLastSave="0" documentId="13_ncr:1_{DC779E8C-2F7C-0A48-8C41-01F25DF5F2C6}" xr6:coauthVersionLast="47" xr6:coauthVersionMax="47" xr10:uidLastSave="{00000000-0000-0000-0000-000000000000}"/>
  <bookViews>
    <workbookView xWindow="980" yWindow="760" windowWidth="28420" windowHeight="18360" firstSheet="70" activeTab="74" xr2:uid="{00000000-000D-0000-FFFF-FFFF00000000}"/>
  </bookViews>
  <sheets>
    <sheet name="DCF 5years" sheetId="83" r:id="rId1"/>
    <sheet name="EBITDA DCF" sheetId="41" r:id="rId2"/>
    <sheet name="DCF 10years 模板" sheetId="98" r:id="rId3"/>
    <sheet name="5年模板" sheetId="39" r:id="rId4"/>
    <sheet name="微软" sheetId="2" r:id="rId5"/>
    <sheet name="英伟达" sheetId="16" r:id="rId6"/>
    <sheet name="pdd" sheetId="5" r:id="rId7"/>
    <sheet name="BABA" sheetId="6" r:id="rId8"/>
    <sheet name="kanzhun" sheetId="8" r:id="rId9"/>
    <sheet name="石头科技" sheetId="11" r:id="rId10"/>
    <sheet name="兆易创新" sheetId="12" r:id="rId11"/>
    <sheet name="澜起科技" sheetId="13" r:id="rId12"/>
    <sheet name="Spotify" sheetId="14" r:id="rId13"/>
    <sheet name="MELI" sheetId="15" r:id="rId14"/>
    <sheet name="MongoDB" sheetId="17" r:id="rId15"/>
    <sheet name="CrowdStrike " sheetId="18" r:id="rId16"/>
    <sheet name="Palantir " sheetId="19" r:id="rId17"/>
    <sheet name="Block" sheetId="20" r:id="rId18"/>
    <sheet name="apple" sheetId="22" r:id="rId19"/>
    <sheet name="Qualcomm " sheetId="23" r:id="rId20"/>
    <sheet name="Broadcom " sheetId="24" r:id="rId21"/>
    <sheet name="chegg" sheetId="25" r:id="rId22"/>
    <sheet name="snowflake" sheetId="26" r:id="rId23"/>
    <sheet name="Deere" sheetId="27" r:id="rId24"/>
    <sheet name="Lulu" sheetId="28" r:id="rId25"/>
    <sheet name="Nike" sheetId="29" r:id="rId26"/>
    <sheet name="datadog" sheetId="32" r:id="rId27"/>
    <sheet name="Constellation" sheetId="42" r:id="rId28"/>
    <sheet name="Zoom" sheetId="33" r:id="rId29"/>
    <sheet name="Enphase" sheetId="34" r:id="rId30"/>
    <sheet name="App" sheetId="35" r:id="rId31"/>
    <sheet name="ANET" sheetId="36" r:id="rId32"/>
    <sheet name="高通" sheetId="37" r:id="rId33"/>
    <sheet name="AVGO" sheetId="38" r:id="rId34"/>
    <sheet name="ATAT 亚朵" sheetId="43" r:id="rId35"/>
    <sheet name="bilibili" sheetId="45" r:id="rId36"/>
    <sheet name="sheet" sheetId="47" r:id="rId37"/>
    <sheet name="NU" sheetId="48" r:id="rId38"/>
    <sheet name="DUO" sheetId="50" r:id="rId39"/>
    <sheet name="新东方" sheetId="51" r:id="rId40"/>
    <sheet name="小牛电动车" sheetId="52" r:id="rId41"/>
    <sheet name="蔚来" sheetId="53" r:id="rId42"/>
    <sheet name="理想" sheetId="54" r:id="rId43"/>
    <sheet name="REDDIT" sheetId="55" r:id="rId44"/>
    <sheet name="SOFI" sheetId="57" r:id="rId45"/>
    <sheet name="META EBITDA DCF" sheetId="84" r:id="rId46"/>
    <sheet name="LULU EBITDA" sheetId="87" r:id="rId47"/>
    <sheet name="META" sheetId="56" r:id="rId48"/>
    <sheet name="SHOP" sheetId="58" r:id="rId49"/>
    <sheet name="nee" sheetId="59" r:id="rId50"/>
    <sheet name="UIPATH" sheetId="60" r:id="rId51"/>
    <sheet name="PINS" sheetId="76" r:id="rId52"/>
    <sheet name="Pegasystems" sheetId="61" r:id="rId53"/>
    <sheet name="Innodata" sheetId="62" r:id="rId54"/>
    <sheet name="AMAZON" sheetId="63" r:id="rId55"/>
    <sheet name="泡泡玛特" sheetId="64" r:id="rId56"/>
    <sheet name="AMD" sheetId="65" r:id="rId57"/>
    <sheet name="CROX" sheetId="66" r:id="rId58"/>
    <sheet name="DELL" sheetId="67" r:id="rId59"/>
    <sheet name="CELH" sheetId="68" r:id="rId60"/>
    <sheet name="OPFI" sheetId="69" r:id="rId61"/>
    <sheet name="LRN" sheetId="70" r:id="rId62"/>
    <sheet name="AGX" sheetId="71" r:id="rId63"/>
    <sheet name="DXPE" sheetId="72" r:id="rId64"/>
    <sheet name="EAT" sheetId="73" r:id="rId65"/>
    <sheet name="UBER" sheetId="74" r:id="rId66"/>
    <sheet name="Affirm" sheetId="75" r:id="rId67"/>
    <sheet name="PSIX" sheetId="77" r:id="rId68"/>
    <sheet name="Vertiv" sheetId="78" r:id="rId69"/>
    <sheet name="TMDX" sheetId="79" r:id="rId70"/>
    <sheet name="LRN2" sheetId="96" r:id="rId71"/>
    <sheet name="WDC" sheetId="95" r:id="rId72"/>
    <sheet name="Marvell" sheetId="80" r:id="rId73"/>
    <sheet name="First Solar" sheetId="82" r:id="rId74"/>
    <sheet name="ZETA" sheetId="97" r:id="rId75"/>
    <sheet name="GLW" sheetId="88" r:id="rId76"/>
    <sheet name="Credo" sheetId="90" r:id="rId77"/>
    <sheet name="FIX" sheetId="89" r:id="rId78"/>
    <sheet name="EME" sheetId="91" r:id="rId79"/>
    <sheet name="UpStart" sheetId="92" r:id="rId80"/>
    <sheet name="PGY" sheetId="94" r:id="rId81"/>
    <sheet name="First Solar EBITDA DCF" sheetId="85" r:id="rId82"/>
    <sheet name="TMDX EBITDA" sheetId="86" r:id="rId83"/>
    <sheet name="PGY EBITDA" sheetId="93" r:id="rId8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8" l="1"/>
  <c r="F23" i="98"/>
  <c r="C14" i="98"/>
  <c r="D13" i="98"/>
  <c r="D11" i="98"/>
  <c r="F23" i="97"/>
  <c r="C14" i="97"/>
  <c r="C15" i="97" s="1"/>
  <c r="D11" i="97"/>
  <c r="E11" i="97" s="1"/>
  <c r="F11" i="97" s="1"/>
  <c r="F23" i="96"/>
  <c r="C14" i="96"/>
  <c r="C15" i="96" s="1"/>
  <c r="D11" i="96"/>
  <c r="D13" i="96" s="1"/>
  <c r="F23" i="95"/>
  <c r="C14" i="95"/>
  <c r="C15" i="95" s="1"/>
  <c r="D11" i="95"/>
  <c r="D11" i="79"/>
  <c r="E11" i="79"/>
  <c r="F11" i="79"/>
  <c r="G11" i="79"/>
  <c r="H11" i="79" s="1"/>
  <c r="D13" i="79"/>
  <c r="E13" i="79"/>
  <c r="F13" i="79"/>
  <c r="G13" i="79"/>
  <c r="C14" i="79"/>
  <c r="D14" i="79"/>
  <c r="E14" i="79" s="1"/>
  <c r="C15" i="79"/>
  <c r="D15" i="79"/>
  <c r="F23" i="79"/>
  <c r="F20" i="94"/>
  <c r="C14" i="94"/>
  <c r="D14" i="94" s="1"/>
  <c r="E14" i="94" s="1"/>
  <c r="F14" i="94" s="1"/>
  <c r="G14" i="94" s="1"/>
  <c r="H14" i="94" s="1"/>
  <c r="I14" i="94" s="1"/>
  <c r="J14" i="94" s="1"/>
  <c r="K14" i="94" s="1"/>
  <c r="L14" i="94" s="1"/>
  <c r="M14" i="94" s="1"/>
  <c r="D11" i="94"/>
  <c r="D13" i="94" s="1"/>
  <c r="G8" i="94"/>
  <c r="F8" i="94"/>
  <c r="E8" i="94"/>
  <c r="E33" i="93"/>
  <c r="B32" i="93"/>
  <c r="B33" i="93" s="1"/>
  <c r="B34" i="93" s="1"/>
  <c r="E32" i="93" s="1"/>
  <c r="E34" i="93" s="1"/>
  <c r="E35" i="93" s="1"/>
  <c r="B29" i="93"/>
  <c r="B27" i="93"/>
  <c r="D19" i="93"/>
  <c r="A19" i="93"/>
  <c r="D18" i="93"/>
  <c r="A18" i="93"/>
  <c r="A17" i="93"/>
  <c r="D17" i="93" s="1"/>
  <c r="D16" i="93"/>
  <c r="A16" i="93"/>
  <c r="A15" i="93"/>
  <c r="D15" i="93" s="1"/>
  <c r="B14" i="93"/>
  <c r="B15" i="93" s="1"/>
  <c r="A14" i="93"/>
  <c r="D14" i="93" s="1"/>
  <c r="F20" i="92"/>
  <c r="C14" i="92"/>
  <c r="D14" i="92" s="1"/>
  <c r="E14" i="92" s="1"/>
  <c r="F14" i="92" s="1"/>
  <c r="G14" i="92" s="1"/>
  <c r="H14" i="92" s="1"/>
  <c r="I14" i="92" s="1"/>
  <c r="J14" i="92" s="1"/>
  <c r="K14" i="92" s="1"/>
  <c r="L14" i="92" s="1"/>
  <c r="M14" i="92" s="1"/>
  <c r="D11" i="92"/>
  <c r="D13" i="92" s="1"/>
  <c r="G8" i="92"/>
  <c r="F8" i="92"/>
  <c r="E8" i="92"/>
  <c r="F20" i="91"/>
  <c r="C14" i="91"/>
  <c r="D14" i="91" s="1"/>
  <c r="E14" i="91" s="1"/>
  <c r="F14" i="91" s="1"/>
  <c r="G14" i="91" s="1"/>
  <c r="H14" i="91" s="1"/>
  <c r="I14" i="91" s="1"/>
  <c r="J14" i="91" s="1"/>
  <c r="K14" i="91" s="1"/>
  <c r="L14" i="91" s="1"/>
  <c r="M14" i="91" s="1"/>
  <c r="D11" i="91"/>
  <c r="E11" i="91" s="1"/>
  <c r="E13" i="91" s="1"/>
  <c r="G8" i="91"/>
  <c r="F8" i="91"/>
  <c r="E8" i="91"/>
  <c r="F20" i="89"/>
  <c r="C14" i="89"/>
  <c r="D14" i="89" s="1"/>
  <c r="E14" i="89" s="1"/>
  <c r="F14" i="89" s="1"/>
  <c r="G14" i="89" s="1"/>
  <c r="H14" i="89" s="1"/>
  <c r="I14" i="89" s="1"/>
  <c r="J14" i="89" s="1"/>
  <c r="K14" i="89" s="1"/>
  <c r="L14" i="89" s="1"/>
  <c r="M14" i="89" s="1"/>
  <c r="D11" i="89"/>
  <c r="E11" i="89" s="1"/>
  <c r="G8" i="89"/>
  <c r="F8" i="89"/>
  <c r="E8" i="89"/>
  <c r="F20" i="90"/>
  <c r="C14" i="90"/>
  <c r="D14" i="90" s="1"/>
  <c r="E14" i="90" s="1"/>
  <c r="F14" i="90" s="1"/>
  <c r="G14" i="90" s="1"/>
  <c r="H14" i="90" s="1"/>
  <c r="I14" i="90" s="1"/>
  <c r="J14" i="90" s="1"/>
  <c r="K14" i="90" s="1"/>
  <c r="L14" i="90" s="1"/>
  <c r="M14" i="90" s="1"/>
  <c r="D11" i="90"/>
  <c r="D13" i="90" s="1"/>
  <c r="G8" i="90"/>
  <c r="F8" i="90"/>
  <c r="E8" i="90"/>
  <c r="F20" i="88"/>
  <c r="C14" i="88"/>
  <c r="D14" i="88" s="1"/>
  <c r="E14" i="88" s="1"/>
  <c r="F14" i="88" s="1"/>
  <c r="G14" i="88" s="1"/>
  <c r="H14" i="88" s="1"/>
  <c r="I14" i="88" s="1"/>
  <c r="J14" i="88" s="1"/>
  <c r="K14" i="88" s="1"/>
  <c r="L14" i="88" s="1"/>
  <c r="M14" i="88" s="1"/>
  <c r="D11" i="88"/>
  <c r="D13" i="88" s="1"/>
  <c r="G8" i="88"/>
  <c r="F8" i="88"/>
  <c r="E8" i="88"/>
  <c r="E33" i="87"/>
  <c r="B32" i="87"/>
  <c r="B33" i="87" s="1"/>
  <c r="B34" i="87" s="1"/>
  <c r="E32" i="87" s="1"/>
  <c r="E34" i="87" s="1"/>
  <c r="E35" i="87" s="1"/>
  <c r="B29" i="87"/>
  <c r="B27" i="87"/>
  <c r="A19" i="87"/>
  <c r="D19" i="87" s="1"/>
  <c r="D18" i="87"/>
  <c r="A18" i="87"/>
  <c r="A17" i="87"/>
  <c r="D17" i="87" s="1"/>
  <c r="A16" i="87"/>
  <c r="D16" i="87" s="1"/>
  <c r="A15" i="87"/>
  <c r="D15" i="87" s="1"/>
  <c r="B14" i="87"/>
  <c r="C14" i="87" s="1"/>
  <c r="A14" i="87"/>
  <c r="D14" i="87" s="1"/>
  <c r="E33" i="86"/>
  <c r="B32" i="86"/>
  <c r="B33" i="86" s="1"/>
  <c r="B34" i="86" s="1"/>
  <c r="E32" i="86" s="1"/>
  <c r="B29" i="86"/>
  <c r="B27" i="86"/>
  <c r="D19" i="86"/>
  <c r="A19" i="86"/>
  <c r="D18" i="86"/>
  <c r="A18" i="86"/>
  <c r="A17" i="86"/>
  <c r="D17" i="86" s="1"/>
  <c r="A16" i="86"/>
  <c r="D16" i="86" s="1"/>
  <c r="A15" i="86"/>
  <c r="D15" i="86" s="1"/>
  <c r="B14" i="86"/>
  <c r="B15" i="86" s="1"/>
  <c r="A14" i="86"/>
  <c r="D14" i="86" s="1"/>
  <c r="E33" i="85"/>
  <c r="B32" i="85"/>
  <c r="B33" i="85" s="1"/>
  <c r="B34" i="85" s="1"/>
  <c r="E32" i="85" s="1"/>
  <c r="E34" i="85" s="1"/>
  <c r="E35" i="85" s="1"/>
  <c r="B29" i="85"/>
  <c r="B27" i="85"/>
  <c r="A19" i="85"/>
  <c r="D19" i="85" s="1"/>
  <c r="A18" i="85"/>
  <c r="D18" i="85" s="1"/>
  <c r="D17" i="85"/>
  <c r="A17" i="85"/>
  <c r="D16" i="85"/>
  <c r="A16" i="85"/>
  <c r="D15" i="85"/>
  <c r="A15" i="85"/>
  <c r="C14" i="85"/>
  <c r="B14" i="85"/>
  <c r="B15" i="85" s="1"/>
  <c r="A14" i="85"/>
  <c r="D14" i="85" s="1"/>
  <c r="E33" i="84"/>
  <c r="B32" i="84"/>
  <c r="B33" i="84" s="1"/>
  <c r="B34" i="84" s="1"/>
  <c r="E32" i="84" s="1"/>
  <c r="E34" i="84" s="1"/>
  <c r="E35" i="84" s="1"/>
  <c r="B29" i="84"/>
  <c r="B27" i="84"/>
  <c r="A19" i="84"/>
  <c r="D19" i="84" s="1"/>
  <c r="D18" i="84"/>
  <c r="A18" i="84"/>
  <c r="A17" i="84"/>
  <c r="D17" i="84" s="1"/>
  <c r="D16" i="84"/>
  <c r="A16" i="84"/>
  <c r="B15" i="84"/>
  <c r="B16" i="84" s="1"/>
  <c r="A15" i="84"/>
  <c r="D15" i="84" s="1"/>
  <c r="B14" i="84"/>
  <c r="C14" i="84" s="1"/>
  <c r="A14" i="84"/>
  <c r="D14" i="84" s="1"/>
  <c r="F20" i="83"/>
  <c r="C14" i="83"/>
  <c r="D14" i="83" s="1"/>
  <c r="E14" i="83" s="1"/>
  <c r="F14" i="83" s="1"/>
  <c r="G14" i="83" s="1"/>
  <c r="H14" i="83" s="1"/>
  <c r="D11" i="83"/>
  <c r="D13" i="83" s="1"/>
  <c r="G8" i="83"/>
  <c r="F8" i="83"/>
  <c r="E8" i="83"/>
  <c r="E33" i="41"/>
  <c r="B32" i="41"/>
  <c r="B33" i="41" s="1"/>
  <c r="B34" i="41" s="1"/>
  <c r="E32" i="41" s="1"/>
  <c r="B29" i="41"/>
  <c r="B27" i="41"/>
  <c r="A19" i="41"/>
  <c r="D19" i="41" s="1"/>
  <c r="A18" i="41"/>
  <c r="D18" i="41" s="1"/>
  <c r="A17" i="41"/>
  <c r="D17" i="41" s="1"/>
  <c r="A16" i="41"/>
  <c r="D16" i="41" s="1"/>
  <c r="A15" i="41"/>
  <c r="D15" i="41" s="1"/>
  <c r="B14" i="41"/>
  <c r="B15" i="41" s="1"/>
  <c r="A14" i="41"/>
  <c r="D14" i="41" s="1"/>
  <c r="D14" i="98" l="1"/>
  <c r="E14" i="98" s="1"/>
  <c r="F14" i="98" s="1"/>
  <c r="G14" i="98" s="1"/>
  <c r="H14" i="98" s="1"/>
  <c r="I14" i="98" s="1"/>
  <c r="J14" i="98" s="1"/>
  <c r="K14" i="98" s="1"/>
  <c r="L14" i="98" s="1"/>
  <c r="M14" i="98" s="1"/>
  <c r="E11" i="98"/>
  <c r="D13" i="97"/>
  <c r="F13" i="97"/>
  <c r="G11" i="97"/>
  <c r="E13" i="97"/>
  <c r="D14" i="97"/>
  <c r="E11" i="96"/>
  <c r="D14" i="96"/>
  <c r="E14" i="96" s="1"/>
  <c r="F14" i="96" s="1"/>
  <c r="G14" i="96" s="1"/>
  <c r="H14" i="96" s="1"/>
  <c r="I14" i="96" s="1"/>
  <c r="J14" i="96" s="1"/>
  <c r="K14" i="96" s="1"/>
  <c r="L14" i="96" s="1"/>
  <c r="M14" i="96" s="1"/>
  <c r="D13" i="95"/>
  <c r="D14" i="95"/>
  <c r="E14" i="95" s="1"/>
  <c r="F14" i="95" s="1"/>
  <c r="G14" i="95" s="1"/>
  <c r="H14" i="95" s="1"/>
  <c r="I14" i="95" s="1"/>
  <c r="J14" i="95" s="1"/>
  <c r="K14" i="95" s="1"/>
  <c r="L14" i="95" s="1"/>
  <c r="M14" i="95" s="1"/>
  <c r="E11" i="95"/>
  <c r="E15" i="95" s="1"/>
  <c r="E15" i="79"/>
  <c r="F14" i="79"/>
  <c r="I11" i="79"/>
  <c r="H13" i="79"/>
  <c r="E11" i="94"/>
  <c r="C14" i="93"/>
  <c r="E14" i="93" s="1"/>
  <c r="C15" i="93"/>
  <c r="E15" i="93" s="1"/>
  <c r="B16" i="93"/>
  <c r="E11" i="92"/>
  <c r="D13" i="91"/>
  <c r="F11" i="91"/>
  <c r="D13" i="89"/>
  <c r="E13" i="89"/>
  <c r="F11" i="89"/>
  <c r="E11" i="90"/>
  <c r="E11" i="88"/>
  <c r="E13" i="88" s="1"/>
  <c r="B15" i="87"/>
  <c r="B16" i="87" s="1"/>
  <c r="C16" i="87" s="1"/>
  <c r="E16" i="87" s="1"/>
  <c r="E14" i="87"/>
  <c r="C14" i="86"/>
  <c r="E14" i="86" s="1"/>
  <c r="E34" i="86"/>
  <c r="E35" i="86" s="1"/>
  <c r="C15" i="86"/>
  <c r="E15" i="86" s="1"/>
  <c r="B16" i="86"/>
  <c r="C15" i="85"/>
  <c r="E15" i="85" s="1"/>
  <c r="B16" i="85"/>
  <c r="E14" i="85"/>
  <c r="E14" i="84"/>
  <c r="C16" i="84"/>
  <c r="E16" i="84" s="1"/>
  <c r="B17" i="84"/>
  <c r="C15" i="84"/>
  <c r="E15" i="84" s="1"/>
  <c r="E11" i="83"/>
  <c r="E34" i="41"/>
  <c r="E35" i="41" s="1"/>
  <c r="B16" i="41"/>
  <c r="C15" i="41"/>
  <c r="E15" i="41" s="1"/>
  <c r="C14" i="41"/>
  <c r="E14" i="41" s="1"/>
  <c r="F20" i="82"/>
  <c r="C14" i="82"/>
  <c r="D14" i="82" s="1"/>
  <c r="E14" i="82" s="1"/>
  <c r="F14" i="82" s="1"/>
  <c r="G14" i="82" s="1"/>
  <c r="H14" i="82" s="1"/>
  <c r="I14" i="82" s="1"/>
  <c r="J14" i="82" s="1"/>
  <c r="K14" i="82" s="1"/>
  <c r="L14" i="82" s="1"/>
  <c r="M14" i="82" s="1"/>
  <c r="D13" i="82"/>
  <c r="D11" i="82"/>
  <c r="E11" i="82" s="1"/>
  <c r="G8" i="82"/>
  <c r="F8" i="82"/>
  <c r="E8" i="82"/>
  <c r="F20" i="80"/>
  <c r="C14" i="80"/>
  <c r="D14" i="80" s="1"/>
  <c r="E14" i="80" s="1"/>
  <c r="F14" i="80" s="1"/>
  <c r="G14" i="80" s="1"/>
  <c r="H14" i="80" s="1"/>
  <c r="I14" i="80" s="1"/>
  <c r="J14" i="80" s="1"/>
  <c r="K14" i="80" s="1"/>
  <c r="L14" i="80" s="1"/>
  <c r="M14" i="80" s="1"/>
  <c r="D11" i="80"/>
  <c r="D13" i="80" s="1"/>
  <c r="G8" i="80"/>
  <c r="F8" i="80"/>
  <c r="E8" i="80"/>
  <c r="F20" i="78"/>
  <c r="C14" i="78"/>
  <c r="D14" i="78" s="1"/>
  <c r="E14" i="78" s="1"/>
  <c r="F14" i="78" s="1"/>
  <c r="G14" i="78" s="1"/>
  <c r="H14" i="78" s="1"/>
  <c r="I14" i="78" s="1"/>
  <c r="J14" i="78" s="1"/>
  <c r="K14" i="78" s="1"/>
  <c r="L14" i="78" s="1"/>
  <c r="M14" i="78" s="1"/>
  <c r="D11" i="78"/>
  <c r="E11" i="78" s="1"/>
  <c r="G8" i="78"/>
  <c r="F8" i="78"/>
  <c r="E8" i="78"/>
  <c r="F20" i="77"/>
  <c r="C14" i="77"/>
  <c r="D14" i="77" s="1"/>
  <c r="E14" i="77" s="1"/>
  <c r="F14" i="77" s="1"/>
  <c r="G14" i="77" s="1"/>
  <c r="H14" i="77" s="1"/>
  <c r="I14" i="77" s="1"/>
  <c r="J14" i="77" s="1"/>
  <c r="K14" i="77" s="1"/>
  <c r="L14" i="77" s="1"/>
  <c r="M14" i="77" s="1"/>
  <c r="D11" i="77"/>
  <c r="D13" i="77" s="1"/>
  <c r="G8" i="77"/>
  <c r="F8" i="77"/>
  <c r="E8" i="77"/>
  <c r="F20" i="76"/>
  <c r="C14" i="76"/>
  <c r="D14" i="76" s="1"/>
  <c r="E14" i="76" s="1"/>
  <c r="F14" i="76" s="1"/>
  <c r="G14" i="76" s="1"/>
  <c r="H14" i="76" s="1"/>
  <c r="I14" i="76" s="1"/>
  <c r="J14" i="76" s="1"/>
  <c r="K14" i="76" s="1"/>
  <c r="L14" i="76" s="1"/>
  <c r="M14" i="76" s="1"/>
  <c r="D11" i="76"/>
  <c r="D13" i="76" s="1"/>
  <c r="G8" i="76"/>
  <c r="F8" i="76"/>
  <c r="E8" i="76"/>
  <c r="F20" i="75"/>
  <c r="C14" i="75"/>
  <c r="D14" i="75" s="1"/>
  <c r="E14" i="75" s="1"/>
  <c r="F14" i="75" s="1"/>
  <c r="G14" i="75" s="1"/>
  <c r="H14" i="75" s="1"/>
  <c r="I14" i="75" s="1"/>
  <c r="J14" i="75" s="1"/>
  <c r="K14" i="75" s="1"/>
  <c r="L14" i="75" s="1"/>
  <c r="M14" i="75" s="1"/>
  <c r="D11" i="75"/>
  <c r="E11" i="75" s="1"/>
  <c r="E13" i="75" s="1"/>
  <c r="G8" i="75"/>
  <c r="F8" i="75"/>
  <c r="E8" i="75"/>
  <c r="F20" i="74"/>
  <c r="C14" i="74"/>
  <c r="D14" i="74" s="1"/>
  <c r="E14" i="74" s="1"/>
  <c r="F14" i="74" s="1"/>
  <c r="G14" i="74" s="1"/>
  <c r="H14" i="74" s="1"/>
  <c r="I14" i="74" s="1"/>
  <c r="J14" i="74" s="1"/>
  <c r="K14" i="74" s="1"/>
  <c r="L14" i="74" s="1"/>
  <c r="M14" i="74" s="1"/>
  <c r="D11" i="74"/>
  <c r="D13" i="74" s="1"/>
  <c r="G8" i="74"/>
  <c r="F8" i="74"/>
  <c r="E8" i="74"/>
  <c r="F20" i="73"/>
  <c r="C14" i="73"/>
  <c r="D14" i="73" s="1"/>
  <c r="E14" i="73" s="1"/>
  <c r="F14" i="73" s="1"/>
  <c r="G14" i="73" s="1"/>
  <c r="H14" i="73" s="1"/>
  <c r="I14" i="73" s="1"/>
  <c r="J14" i="73" s="1"/>
  <c r="K14" i="73" s="1"/>
  <c r="L14" i="73" s="1"/>
  <c r="M14" i="73" s="1"/>
  <c r="D11" i="73"/>
  <c r="E11" i="73" s="1"/>
  <c r="G8" i="73"/>
  <c r="F8" i="73"/>
  <c r="E8" i="73"/>
  <c r="F20" i="72"/>
  <c r="C14" i="72"/>
  <c r="D14" i="72" s="1"/>
  <c r="E14" i="72" s="1"/>
  <c r="F14" i="72" s="1"/>
  <c r="G14" i="72" s="1"/>
  <c r="H14" i="72" s="1"/>
  <c r="I14" i="72" s="1"/>
  <c r="J14" i="72" s="1"/>
  <c r="K14" i="72" s="1"/>
  <c r="L14" i="72" s="1"/>
  <c r="M14" i="72" s="1"/>
  <c r="D11" i="72"/>
  <c r="D13" i="72" s="1"/>
  <c r="G8" i="72"/>
  <c r="F8" i="72"/>
  <c r="E8" i="72"/>
  <c r="F20" i="71"/>
  <c r="C14" i="71"/>
  <c r="D14" i="71" s="1"/>
  <c r="E14" i="71" s="1"/>
  <c r="F14" i="71" s="1"/>
  <c r="G14" i="71" s="1"/>
  <c r="H14" i="71" s="1"/>
  <c r="I14" i="71" s="1"/>
  <c r="J14" i="71" s="1"/>
  <c r="K14" i="71" s="1"/>
  <c r="L14" i="71" s="1"/>
  <c r="M14" i="71" s="1"/>
  <c r="D11" i="71"/>
  <c r="D13" i="71" s="1"/>
  <c r="G8" i="71"/>
  <c r="F8" i="71"/>
  <c r="E8" i="71"/>
  <c r="F20" i="70"/>
  <c r="C14" i="70"/>
  <c r="D14" i="70" s="1"/>
  <c r="E14" i="70" s="1"/>
  <c r="F14" i="70" s="1"/>
  <c r="G14" i="70" s="1"/>
  <c r="H14" i="70" s="1"/>
  <c r="I14" i="70" s="1"/>
  <c r="J14" i="70" s="1"/>
  <c r="K14" i="70" s="1"/>
  <c r="L14" i="70" s="1"/>
  <c r="M14" i="70" s="1"/>
  <c r="D11" i="70"/>
  <c r="E11" i="70" s="1"/>
  <c r="G8" i="70"/>
  <c r="F8" i="70"/>
  <c r="E8" i="70"/>
  <c r="F20" i="69"/>
  <c r="C14" i="69"/>
  <c r="D14" i="69" s="1"/>
  <c r="E14" i="69" s="1"/>
  <c r="F14" i="69" s="1"/>
  <c r="G14" i="69" s="1"/>
  <c r="H14" i="69" s="1"/>
  <c r="I14" i="69" s="1"/>
  <c r="J14" i="69" s="1"/>
  <c r="K14" i="69" s="1"/>
  <c r="L14" i="69" s="1"/>
  <c r="M14" i="69" s="1"/>
  <c r="D11" i="69"/>
  <c r="D13" i="69" s="1"/>
  <c r="G8" i="69"/>
  <c r="F8" i="69"/>
  <c r="E8" i="69"/>
  <c r="F20" i="68"/>
  <c r="C14" i="68"/>
  <c r="D14" i="68" s="1"/>
  <c r="E14" i="68" s="1"/>
  <c r="F14" i="68" s="1"/>
  <c r="G14" i="68" s="1"/>
  <c r="H14" i="68" s="1"/>
  <c r="I14" i="68" s="1"/>
  <c r="J14" i="68" s="1"/>
  <c r="K14" i="68" s="1"/>
  <c r="L14" i="68" s="1"/>
  <c r="M14" i="68" s="1"/>
  <c r="D11" i="68"/>
  <c r="D13" i="68" s="1"/>
  <c r="G8" i="68"/>
  <c r="F8" i="68"/>
  <c r="E8" i="68"/>
  <c r="F20" i="67"/>
  <c r="C14" i="67"/>
  <c r="D14" i="67" s="1"/>
  <c r="E14" i="67" s="1"/>
  <c r="F14" i="67" s="1"/>
  <c r="G14" i="67" s="1"/>
  <c r="H14" i="67" s="1"/>
  <c r="I14" i="67" s="1"/>
  <c r="J14" i="67" s="1"/>
  <c r="K14" i="67" s="1"/>
  <c r="L14" i="67" s="1"/>
  <c r="M14" i="67" s="1"/>
  <c r="D11" i="67"/>
  <c r="E11" i="67" s="1"/>
  <c r="G8" i="67"/>
  <c r="F8" i="67"/>
  <c r="E8" i="67"/>
  <c r="F20" i="66"/>
  <c r="C14" i="66"/>
  <c r="D14" i="66" s="1"/>
  <c r="E14" i="66" s="1"/>
  <c r="F14" i="66" s="1"/>
  <c r="G14" i="66" s="1"/>
  <c r="H14" i="66" s="1"/>
  <c r="I14" i="66" s="1"/>
  <c r="J14" i="66" s="1"/>
  <c r="K14" i="66" s="1"/>
  <c r="L14" i="66" s="1"/>
  <c r="M14" i="66" s="1"/>
  <c r="D11" i="66"/>
  <c r="D13" i="66" s="1"/>
  <c r="G8" i="66"/>
  <c r="F8" i="66"/>
  <c r="E8" i="66"/>
  <c r="F20" i="65"/>
  <c r="C14" i="65"/>
  <c r="D14" i="65" s="1"/>
  <c r="E14" i="65" s="1"/>
  <c r="F14" i="65" s="1"/>
  <c r="G14" i="65" s="1"/>
  <c r="H14" i="65" s="1"/>
  <c r="I14" i="65" s="1"/>
  <c r="J14" i="65" s="1"/>
  <c r="K14" i="65" s="1"/>
  <c r="L14" i="65" s="1"/>
  <c r="M14" i="65" s="1"/>
  <c r="D11" i="65"/>
  <c r="D13" i="65" s="1"/>
  <c r="G8" i="65"/>
  <c r="F8" i="65"/>
  <c r="E8" i="65"/>
  <c r="F20" i="64"/>
  <c r="C14" i="64"/>
  <c r="D14" i="64" s="1"/>
  <c r="E14" i="64" s="1"/>
  <c r="F14" i="64" s="1"/>
  <c r="G14" i="64" s="1"/>
  <c r="H14" i="64" s="1"/>
  <c r="I14" i="64" s="1"/>
  <c r="J14" i="64" s="1"/>
  <c r="K14" i="64" s="1"/>
  <c r="L14" i="64" s="1"/>
  <c r="M14" i="64" s="1"/>
  <c r="D11" i="64"/>
  <c r="D13" i="64" s="1"/>
  <c r="G8" i="64"/>
  <c r="F8" i="64"/>
  <c r="E8" i="64"/>
  <c r="F20" i="63"/>
  <c r="C14" i="63"/>
  <c r="D14" i="63" s="1"/>
  <c r="E14" i="63" s="1"/>
  <c r="F14" i="63" s="1"/>
  <c r="G14" i="63" s="1"/>
  <c r="H14" i="63" s="1"/>
  <c r="I14" i="63" s="1"/>
  <c r="J14" i="63" s="1"/>
  <c r="K14" i="63" s="1"/>
  <c r="L14" i="63" s="1"/>
  <c r="M14" i="63" s="1"/>
  <c r="D11" i="63"/>
  <c r="D13" i="63" s="1"/>
  <c r="G8" i="63"/>
  <c r="F8" i="63"/>
  <c r="E8" i="63"/>
  <c r="F20" i="62"/>
  <c r="C14" i="62"/>
  <c r="D14" i="62" s="1"/>
  <c r="E14" i="62" s="1"/>
  <c r="F14" i="62" s="1"/>
  <c r="G14" i="62" s="1"/>
  <c r="H14" i="62" s="1"/>
  <c r="I14" i="62" s="1"/>
  <c r="J14" i="62" s="1"/>
  <c r="K14" i="62" s="1"/>
  <c r="L14" i="62" s="1"/>
  <c r="M14" i="62" s="1"/>
  <c r="D11" i="62"/>
  <c r="E11" i="62" s="1"/>
  <c r="E13" i="62" s="1"/>
  <c r="G8" i="62"/>
  <c r="F8" i="62"/>
  <c r="E8" i="62"/>
  <c r="M12" i="61"/>
  <c r="F20" i="61"/>
  <c r="C14" i="61"/>
  <c r="D14" i="61" s="1"/>
  <c r="E14" i="61" s="1"/>
  <c r="F14" i="61" s="1"/>
  <c r="G14" i="61" s="1"/>
  <c r="H14" i="61" s="1"/>
  <c r="I14" i="61" s="1"/>
  <c r="J14" i="61" s="1"/>
  <c r="K14" i="61" s="1"/>
  <c r="L14" i="61" s="1"/>
  <c r="M14" i="61" s="1"/>
  <c r="D11" i="61"/>
  <c r="D13" i="61" s="1"/>
  <c r="G8" i="61"/>
  <c r="F8" i="61"/>
  <c r="E8" i="61"/>
  <c r="F20" i="60"/>
  <c r="C14" i="60"/>
  <c r="D14" i="60" s="1"/>
  <c r="E14" i="60" s="1"/>
  <c r="F14" i="60" s="1"/>
  <c r="G14" i="60" s="1"/>
  <c r="H14" i="60" s="1"/>
  <c r="I14" i="60" s="1"/>
  <c r="J14" i="60" s="1"/>
  <c r="K14" i="60" s="1"/>
  <c r="L14" i="60" s="1"/>
  <c r="M14" i="60" s="1"/>
  <c r="D11" i="60"/>
  <c r="E11" i="60" s="1"/>
  <c r="G8" i="60"/>
  <c r="F8" i="60"/>
  <c r="E8" i="60"/>
  <c r="F20" i="59"/>
  <c r="C14" i="59"/>
  <c r="D14" i="59" s="1"/>
  <c r="E14" i="59" s="1"/>
  <c r="F14" i="59" s="1"/>
  <c r="G14" i="59" s="1"/>
  <c r="H14" i="59" s="1"/>
  <c r="I14" i="59" s="1"/>
  <c r="J14" i="59" s="1"/>
  <c r="K14" i="59" s="1"/>
  <c r="L14" i="59" s="1"/>
  <c r="M14" i="59" s="1"/>
  <c r="D11" i="59"/>
  <c r="D13" i="59" s="1"/>
  <c r="G8" i="59"/>
  <c r="F8" i="59"/>
  <c r="E8" i="59"/>
  <c r="F20" i="58"/>
  <c r="C14" i="58"/>
  <c r="D14" i="58" s="1"/>
  <c r="E14" i="58" s="1"/>
  <c r="F14" i="58" s="1"/>
  <c r="G14" i="58" s="1"/>
  <c r="H14" i="58" s="1"/>
  <c r="I14" i="58" s="1"/>
  <c r="J14" i="58" s="1"/>
  <c r="K14" i="58" s="1"/>
  <c r="L14" i="58" s="1"/>
  <c r="M14" i="58" s="1"/>
  <c r="D11" i="58"/>
  <c r="D13" i="58" s="1"/>
  <c r="G8" i="58"/>
  <c r="F8" i="58"/>
  <c r="E8" i="58"/>
  <c r="F20" i="57"/>
  <c r="C14" i="57"/>
  <c r="D14" i="57" s="1"/>
  <c r="E14" i="57" s="1"/>
  <c r="F14" i="57" s="1"/>
  <c r="G14" i="57" s="1"/>
  <c r="H14" i="57" s="1"/>
  <c r="I14" i="57" s="1"/>
  <c r="J14" i="57" s="1"/>
  <c r="K14" i="57" s="1"/>
  <c r="L14" i="57" s="1"/>
  <c r="M14" i="57" s="1"/>
  <c r="D11" i="57"/>
  <c r="D13" i="57" s="1"/>
  <c r="G8" i="57"/>
  <c r="F8" i="57"/>
  <c r="E8" i="57"/>
  <c r="F20" i="56"/>
  <c r="C14" i="56"/>
  <c r="D14" i="56" s="1"/>
  <c r="E14" i="56" s="1"/>
  <c r="F14" i="56" s="1"/>
  <c r="G14" i="56" s="1"/>
  <c r="H14" i="56" s="1"/>
  <c r="I14" i="56" s="1"/>
  <c r="J14" i="56" s="1"/>
  <c r="K14" i="56" s="1"/>
  <c r="L14" i="56" s="1"/>
  <c r="M14" i="56" s="1"/>
  <c r="D11" i="56"/>
  <c r="D13" i="56" s="1"/>
  <c r="G8" i="56"/>
  <c r="F8" i="56"/>
  <c r="E8" i="56"/>
  <c r="F20" i="55"/>
  <c r="C14" i="55"/>
  <c r="D14" i="55" s="1"/>
  <c r="E14" i="55" s="1"/>
  <c r="F14" i="55" s="1"/>
  <c r="G14" i="55" s="1"/>
  <c r="H14" i="55" s="1"/>
  <c r="I14" i="55" s="1"/>
  <c r="J14" i="55" s="1"/>
  <c r="K14" i="55" s="1"/>
  <c r="L14" i="55" s="1"/>
  <c r="M14" i="55" s="1"/>
  <c r="D11" i="55"/>
  <c r="D13" i="55" s="1"/>
  <c r="G8" i="55"/>
  <c r="F8" i="55"/>
  <c r="E8" i="55"/>
  <c r="F20" i="54"/>
  <c r="C14" i="54"/>
  <c r="D14" i="54" s="1"/>
  <c r="E14" i="54" s="1"/>
  <c r="F14" i="54" s="1"/>
  <c r="G14" i="54" s="1"/>
  <c r="H14" i="54" s="1"/>
  <c r="I14" i="54" s="1"/>
  <c r="J14" i="54" s="1"/>
  <c r="K14" i="54" s="1"/>
  <c r="L14" i="54" s="1"/>
  <c r="M14" i="54" s="1"/>
  <c r="D11" i="54"/>
  <c r="D13" i="54" s="1"/>
  <c r="G8" i="54"/>
  <c r="F8" i="54"/>
  <c r="E8" i="54"/>
  <c r="F20" i="53"/>
  <c r="C14" i="53"/>
  <c r="D14" i="53" s="1"/>
  <c r="E14" i="53" s="1"/>
  <c r="F14" i="53" s="1"/>
  <c r="G14" i="53" s="1"/>
  <c r="H14" i="53" s="1"/>
  <c r="I14" i="53" s="1"/>
  <c r="J14" i="53" s="1"/>
  <c r="K14" i="53" s="1"/>
  <c r="L14" i="53" s="1"/>
  <c r="M14" i="53" s="1"/>
  <c r="D11" i="53"/>
  <c r="E11" i="53" s="1"/>
  <c r="E13" i="53" s="1"/>
  <c r="G8" i="53"/>
  <c r="F8" i="53"/>
  <c r="E8" i="53"/>
  <c r="F20" i="52"/>
  <c r="C14" i="52"/>
  <c r="D14" i="52" s="1"/>
  <c r="E14" i="52" s="1"/>
  <c r="F14" i="52" s="1"/>
  <c r="G14" i="52" s="1"/>
  <c r="H14" i="52" s="1"/>
  <c r="I14" i="52" s="1"/>
  <c r="J14" i="52" s="1"/>
  <c r="K14" i="52" s="1"/>
  <c r="L14" i="52" s="1"/>
  <c r="M14" i="52" s="1"/>
  <c r="D11" i="52"/>
  <c r="D13" i="52" s="1"/>
  <c r="G8" i="52"/>
  <c r="F8" i="52"/>
  <c r="E8" i="52"/>
  <c r="F20" i="51"/>
  <c r="C14" i="51"/>
  <c r="D14" i="51" s="1"/>
  <c r="E14" i="51" s="1"/>
  <c r="F14" i="51" s="1"/>
  <c r="G14" i="51" s="1"/>
  <c r="H14" i="51" s="1"/>
  <c r="I14" i="51" s="1"/>
  <c r="J14" i="51" s="1"/>
  <c r="K14" i="51" s="1"/>
  <c r="L14" i="51" s="1"/>
  <c r="M14" i="51" s="1"/>
  <c r="D11" i="51"/>
  <c r="D13" i="51" s="1"/>
  <c r="G8" i="51"/>
  <c r="F8" i="51"/>
  <c r="E8" i="51"/>
  <c r="F20" i="50"/>
  <c r="C14" i="50"/>
  <c r="D14" i="50" s="1"/>
  <c r="E14" i="50" s="1"/>
  <c r="F14" i="50" s="1"/>
  <c r="G14" i="50" s="1"/>
  <c r="H14" i="50" s="1"/>
  <c r="I14" i="50" s="1"/>
  <c r="J14" i="50" s="1"/>
  <c r="K14" i="50" s="1"/>
  <c r="L14" i="50" s="1"/>
  <c r="M14" i="50" s="1"/>
  <c r="D11" i="50"/>
  <c r="D13" i="50" s="1"/>
  <c r="G8" i="50"/>
  <c r="F8" i="50"/>
  <c r="E8" i="50"/>
  <c r="F20" i="48"/>
  <c r="C14" i="48"/>
  <c r="D14" i="48" s="1"/>
  <c r="E14" i="48" s="1"/>
  <c r="F14" i="48" s="1"/>
  <c r="G14" i="48" s="1"/>
  <c r="H14" i="48" s="1"/>
  <c r="I14" i="48" s="1"/>
  <c r="J14" i="48" s="1"/>
  <c r="K14" i="48" s="1"/>
  <c r="L14" i="48" s="1"/>
  <c r="M14" i="48" s="1"/>
  <c r="D11" i="48"/>
  <c r="D13" i="48" s="1"/>
  <c r="G8" i="48"/>
  <c r="F8" i="48"/>
  <c r="E8" i="48"/>
  <c r="F20" i="47"/>
  <c r="C14" i="47"/>
  <c r="D14" i="47" s="1"/>
  <c r="E14" i="47" s="1"/>
  <c r="F14" i="47" s="1"/>
  <c r="G14" i="47" s="1"/>
  <c r="H14" i="47" s="1"/>
  <c r="I14" i="47" s="1"/>
  <c r="J14" i="47" s="1"/>
  <c r="K14" i="47" s="1"/>
  <c r="L14" i="47" s="1"/>
  <c r="M14" i="47" s="1"/>
  <c r="D11" i="47"/>
  <c r="D13" i="47" s="1"/>
  <c r="G8" i="47"/>
  <c r="F8" i="47"/>
  <c r="E8" i="47"/>
  <c r="F20" i="2"/>
  <c r="C14" i="2"/>
  <c r="D14" i="2" s="1"/>
  <c r="E14" i="2" s="1"/>
  <c r="F14" i="2" s="1"/>
  <c r="G14" i="2" s="1"/>
  <c r="H14" i="2" s="1"/>
  <c r="I14" i="2" s="1"/>
  <c r="J14" i="2" s="1"/>
  <c r="K14" i="2" s="1"/>
  <c r="L14" i="2" s="1"/>
  <c r="M14" i="2" s="1"/>
  <c r="D11" i="2"/>
  <c r="D13" i="2" s="1"/>
  <c r="G8" i="2"/>
  <c r="F8" i="2"/>
  <c r="E8" i="2"/>
  <c r="F20" i="43"/>
  <c r="C14" i="43"/>
  <c r="D14" i="43" s="1"/>
  <c r="E14" i="43" s="1"/>
  <c r="F14" i="43" s="1"/>
  <c r="G14" i="43" s="1"/>
  <c r="H14" i="43" s="1"/>
  <c r="I14" i="43" s="1"/>
  <c r="J14" i="43" s="1"/>
  <c r="K14" i="43" s="1"/>
  <c r="L14" i="43" s="1"/>
  <c r="M14" i="43" s="1"/>
  <c r="D11" i="43"/>
  <c r="E11" i="43" s="1"/>
  <c r="G8" i="43"/>
  <c r="F8" i="43"/>
  <c r="E8" i="43"/>
  <c r="F20" i="42"/>
  <c r="C14" i="42"/>
  <c r="D14" i="42" s="1"/>
  <c r="E14" i="42" s="1"/>
  <c r="F14" i="42" s="1"/>
  <c r="G14" i="42" s="1"/>
  <c r="H14" i="42" s="1"/>
  <c r="I14" i="42" s="1"/>
  <c r="J14" i="42" s="1"/>
  <c r="K14" i="42" s="1"/>
  <c r="L14" i="42" s="1"/>
  <c r="M14" i="42" s="1"/>
  <c r="D11" i="42"/>
  <c r="D13" i="42" s="1"/>
  <c r="G8" i="42"/>
  <c r="F8" i="42"/>
  <c r="E8" i="42"/>
  <c r="M12" i="39"/>
  <c r="M13" i="39" s="1"/>
  <c r="I13" i="39" s="1"/>
  <c r="C17" i="39" s="1"/>
  <c r="F20" i="39"/>
  <c r="C14" i="39"/>
  <c r="D14" i="39" s="1"/>
  <c r="E14" i="39" s="1"/>
  <c r="F14" i="39" s="1"/>
  <c r="G14" i="39" s="1"/>
  <c r="H14" i="39" s="1"/>
  <c r="I14" i="39" s="1"/>
  <c r="J14" i="39" s="1"/>
  <c r="K14" i="39" s="1"/>
  <c r="L14" i="39" s="1"/>
  <c r="M14" i="39" s="1"/>
  <c r="D11" i="39"/>
  <c r="D13" i="39" s="1"/>
  <c r="G8" i="39"/>
  <c r="F8" i="39"/>
  <c r="E8" i="39"/>
  <c r="F20" i="38"/>
  <c r="C14" i="38"/>
  <c r="D14" i="38" s="1"/>
  <c r="E14" i="38" s="1"/>
  <c r="F14" i="38" s="1"/>
  <c r="G14" i="38" s="1"/>
  <c r="H14" i="38" s="1"/>
  <c r="I14" i="38" s="1"/>
  <c r="J14" i="38" s="1"/>
  <c r="K14" i="38" s="1"/>
  <c r="L14" i="38" s="1"/>
  <c r="M14" i="38" s="1"/>
  <c r="D11" i="38"/>
  <c r="D13" i="38" s="1"/>
  <c r="G8" i="38"/>
  <c r="F8" i="38"/>
  <c r="E8" i="38"/>
  <c r="F20" i="37"/>
  <c r="C14" i="37"/>
  <c r="D14" i="37" s="1"/>
  <c r="E14" i="37" s="1"/>
  <c r="F14" i="37" s="1"/>
  <c r="G14" i="37" s="1"/>
  <c r="H14" i="37" s="1"/>
  <c r="I14" i="37" s="1"/>
  <c r="J14" i="37" s="1"/>
  <c r="K14" i="37" s="1"/>
  <c r="L14" i="37" s="1"/>
  <c r="M14" i="37" s="1"/>
  <c r="D11" i="37"/>
  <c r="D13" i="37" s="1"/>
  <c r="G8" i="37"/>
  <c r="F8" i="37"/>
  <c r="E8" i="37"/>
  <c r="F20" i="36"/>
  <c r="C14" i="36"/>
  <c r="D14" i="36" s="1"/>
  <c r="E14" i="36" s="1"/>
  <c r="F14" i="36" s="1"/>
  <c r="G14" i="36" s="1"/>
  <c r="H14" i="36" s="1"/>
  <c r="I14" i="36" s="1"/>
  <c r="J14" i="36" s="1"/>
  <c r="K14" i="36" s="1"/>
  <c r="L14" i="36" s="1"/>
  <c r="M14" i="36" s="1"/>
  <c r="D11" i="36"/>
  <c r="E11" i="36" s="1"/>
  <c r="F11" i="36" s="1"/>
  <c r="G8" i="36"/>
  <c r="F8" i="36"/>
  <c r="E8" i="36"/>
  <c r="F20" i="35"/>
  <c r="C14" i="35"/>
  <c r="D14" i="35" s="1"/>
  <c r="E14" i="35" s="1"/>
  <c r="F14" i="35" s="1"/>
  <c r="G14" i="35" s="1"/>
  <c r="H14" i="35" s="1"/>
  <c r="I14" i="35" s="1"/>
  <c r="J14" i="35" s="1"/>
  <c r="K14" i="35" s="1"/>
  <c r="L14" i="35" s="1"/>
  <c r="M14" i="35" s="1"/>
  <c r="D11" i="35"/>
  <c r="D13" i="35" s="1"/>
  <c r="G8" i="35"/>
  <c r="F8" i="35"/>
  <c r="E8" i="35"/>
  <c r="F20" i="34"/>
  <c r="C14" i="34"/>
  <c r="D14" i="34" s="1"/>
  <c r="E14" i="34" s="1"/>
  <c r="F14" i="34" s="1"/>
  <c r="G14" i="34" s="1"/>
  <c r="H14" i="34" s="1"/>
  <c r="I14" i="34" s="1"/>
  <c r="J14" i="34" s="1"/>
  <c r="K14" i="34" s="1"/>
  <c r="L14" i="34" s="1"/>
  <c r="M14" i="34" s="1"/>
  <c r="D11" i="34"/>
  <c r="E11" i="34" s="1"/>
  <c r="G8" i="34"/>
  <c r="F8" i="34"/>
  <c r="E8" i="34"/>
  <c r="F20" i="33"/>
  <c r="C14" i="33"/>
  <c r="D14" i="33" s="1"/>
  <c r="E14" i="33" s="1"/>
  <c r="F14" i="33" s="1"/>
  <c r="G14" i="33" s="1"/>
  <c r="H14" i="33" s="1"/>
  <c r="I14" i="33" s="1"/>
  <c r="J14" i="33" s="1"/>
  <c r="K14" i="33" s="1"/>
  <c r="L14" i="33" s="1"/>
  <c r="M14" i="33" s="1"/>
  <c r="D11" i="33"/>
  <c r="E11" i="33" s="1"/>
  <c r="G8" i="33"/>
  <c r="F8" i="33"/>
  <c r="E8" i="33"/>
  <c r="F20" i="32"/>
  <c r="C14" i="32"/>
  <c r="D14" i="32" s="1"/>
  <c r="E14" i="32" s="1"/>
  <c r="F14" i="32" s="1"/>
  <c r="G14" i="32" s="1"/>
  <c r="H14" i="32" s="1"/>
  <c r="I14" i="32" s="1"/>
  <c r="J14" i="32" s="1"/>
  <c r="K14" i="32" s="1"/>
  <c r="L14" i="32" s="1"/>
  <c r="M14" i="32" s="1"/>
  <c r="D11" i="32"/>
  <c r="D13" i="32" s="1"/>
  <c r="G8" i="32"/>
  <c r="F8" i="32"/>
  <c r="E8" i="32"/>
  <c r="F20" i="29"/>
  <c r="C14" i="29"/>
  <c r="D14" i="29" s="1"/>
  <c r="E14" i="29" s="1"/>
  <c r="F14" i="29" s="1"/>
  <c r="G14" i="29" s="1"/>
  <c r="H14" i="29" s="1"/>
  <c r="I14" i="29" s="1"/>
  <c r="J14" i="29" s="1"/>
  <c r="K14" i="29" s="1"/>
  <c r="L14" i="29" s="1"/>
  <c r="M14" i="29" s="1"/>
  <c r="D11" i="29"/>
  <c r="D13" i="29" s="1"/>
  <c r="G8" i="29"/>
  <c r="F8" i="29"/>
  <c r="E8" i="29"/>
  <c r="F20" i="28"/>
  <c r="C14" i="28"/>
  <c r="D14" i="28" s="1"/>
  <c r="E14" i="28" s="1"/>
  <c r="F14" i="28" s="1"/>
  <c r="G14" i="28" s="1"/>
  <c r="H14" i="28" s="1"/>
  <c r="I14" i="28" s="1"/>
  <c r="J14" i="28" s="1"/>
  <c r="K14" i="28" s="1"/>
  <c r="L14" i="28" s="1"/>
  <c r="M14" i="28" s="1"/>
  <c r="D11" i="28"/>
  <c r="E11" i="28" s="1"/>
  <c r="G8" i="28"/>
  <c r="F8" i="28"/>
  <c r="E8" i="28"/>
  <c r="F20" i="27"/>
  <c r="C14" i="27"/>
  <c r="D14" i="27" s="1"/>
  <c r="E14" i="27" s="1"/>
  <c r="F14" i="27" s="1"/>
  <c r="G14" i="27" s="1"/>
  <c r="H14" i="27" s="1"/>
  <c r="I14" i="27" s="1"/>
  <c r="J14" i="27" s="1"/>
  <c r="K14" i="27" s="1"/>
  <c r="L14" i="27" s="1"/>
  <c r="M14" i="27" s="1"/>
  <c r="D11" i="27"/>
  <c r="D13" i="27" s="1"/>
  <c r="G8" i="27"/>
  <c r="F8" i="27"/>
  <c r="E8" i="27"/>
  <c r="F20" i="26"/>
  <c r="D14" i="26"/>
  <c r="E14" i="26" s="1"/>
  <c r="F14" i="26" s="1"/>
  <c r="G14" i="26" s="1"/>
  <c r="H14" i="26" s="1"/>
  <c r="I14" i="26" s="1"/>
  <c r="J14" i="26" s="1"/>
  <c r="K14" i="26" s="1"/>
  <c r="L14" i="26" s="1"/>
  <c r="M14" i="26" s="1"/>
  <c r="C14" i="26"/>
  <c r="F13" i="26"/>
  <c r="D13" i="26"/>
  <c r="F11" i="26"/>
  <c r="G11" i="26" s="1"/>
  <c r="H11" i="26" s="1"/>
  <c r="I11" i="26" s="1"/>
  <c r="E11" i="26"/>
  <c r="E13" i="26" s="1"/>
  <c r="D11" i="26"/>
  <c r="G8" i="26"/>
  <c r="F8" i="26"/>
  <c r="E8" i="26"/>
  <c r="F20" i="25"/>
  <c r="C14" i="25"/>
  <c r="D14" i="25" s="1"/>
  <c r="E14" i="25" s="1"/>
  <c r="F14" i="25" s="1"/>
  <c r="G14" i="25" s="1"/>
  <c r="H14" i="25" s="1"/>
  <c r="I14" i="25" s="1"/>
  <c r="J14" i="25" s="1"/>
  <c r="K14" i="25" s="1"/>
  <c r="L14" i="25" s="1"/>
  <c r="M14" i="25" s="1"/>
  <c r="D11" i="25"/>
  <c r="D13" i="25" s="1"/>
  <c r="G8" i="25"/>
  <c r="F8" i="25"/>
  <c r="E8" i="25"/>
  <c r="F20" i="24"/>
  <c r="H14" i="24"/>
  <c r="I14" i="24" s="1"/>
  <c r="J14" i="24" s="1"/>
  <c r="K14" i="24" s="1"/>
  <c r="L14" i="24" s="1"/>
  <c r="M14" i="24" s="1"/>
  <c r="E14" i="24"/>
  <c r="F14" i="24" s="1"/>
  <c r="G14" i="24" s="1"/>
  <c r="D14" i="24"/>
  <c r="C14" i="24"/>
  <c r="D13" i="24"/>
  <c r="F11" i="24"/>
  <c r="F13" i="24" s="1"/>
  <c r="E11" i="24"/>
  <c r="E13" i="24" s="1"/>
  <c r="D11" i="24"/>
  <c r="G8" i="24"/>
  <c r="F8" i="24"/>
  <c r="E8" i="24"/>
  <c r="F20" i="23"/>
  <c r="C14" i="23"/>
  <c r="D14" i="23" s="1"/>
  <c r="E14" i="23" s="1"/>
  <c r="F14" i="23" s="1"/>
  <c r="G14" i="23" s="1"/>
  <c r="H14" i="23" s="1"/>
  <c r="I14" i="23" s="1"/>
  <c r="J14" i="23" s="1"/>
  <c r="K14" i="23" s="1"/>
  <c r="L14" i="23" s="1"/>
  <c r="M14" i="23" s="1"/>
  <c r="D13" i="23"/>
  <c r="D11" i="23"/>
  <c r="E11" i="23" s="1"/>
  <c r="F11" i="23" s="1"/>
  <c r="G8" i="23"/>
  <c r="F8" i="23"/>
  <c r="E8" i="23"/>
  <c r="F20" i="22"/>
  <c r="C14" i="22"/>
  <c r="D14" i="22" s="1"/>
  <c r="E14" i="22" s="1"/>
  <c r="F14" i="22" s="1"/>
  <c r="G14" i="22" s="1"/>
  <c r="H14" i="22" s="1"/>
  <c r="I14" i="22" s="1"/>
  <c r="J14" i="22" s="1"/>
  <c r="K14" i="22" s="1"/>
  <c r="L14" i="22" s="1"/>
  <c r="M14" i="22" s="1"/>
  <c r="F13" i="22"/>
  <c r="D13" i="22"/>
  <c r="G11" i="22"/>
  <c r="F11" i="22"/>
  <c r="E11" i="22"/>
  <c r="E13" i="22" s="1"/>
  <c r="D11" i="22"/>
  <c r="G8" i="22"/>
  <c r="F8" i="22"/>
  <c r="E8" i="22"/>
  <c r="F20" i="20"/>
  <c r="C14" i="20"/>
  <c r="D14" i="20" s="1"/>
  <c r="E14" i="20" s="1"/>
  <c r="F14" i="20" s="1"/>
  <c r="G14" i="20" s="1"/>
  <c r="H14" i="20" s="1"/>
  <c r="I14" i="20" s="1"/>
  <c r="J14" i="20" s="1"/>
  <c r="K14" i="20" s="1"/>
  <c r="L14" i="20" s="1"/>
  <c r="M14" i="20" s="1"/>
  <c r="F13" i="20"/>
  <c r="E13" i="20"/>
  <c r="E11" i="20"/>
  <c r="F11" i="20" s="1"/>
  <c r="G11" i="20" s="1"/>
  <c r="D11" i="20"/>
  <c r="D13" i="20" s="1"/>
  <c r="G8" i="20"/>
  <c r="F8" i="20"/>
  <c r="E8" i="20"/>
  <c r="F20" i="19"/>
  <c r="D14" i="19"/>
  <c r="E14" i="19" s="1"/>
  <c r="F14" i="19" s="1"/>
  <c r="G14" i="19" s="1"/>
  <c r="H14" i="19" s="1"/>
  <c r="I14" i="19" s="1"/>
  <c r="J14" i="19" s="1"/>
  <c r="K14" i="19" s="1"/>
  <c r="L14" i="19" s="1"/>
  <c r="M14" i="19" s="1"/>
  <c r="C14" i="19"/>
  <c r="D13" i="19"/>
  <c r="F11" i="19"/>
  <c r="E11" i="19"/>
  <c r="E13" i="19" s="1"/>
  <c r="D11" i="19"/>
  <c r="G8" i="19"/>
  <c r="F8" i="19"/>
  <c r="E8" i="19"/>
  <c r="F20" i="18"/>
  <c r="C14" i="18"/>
  <c r="D14" i="18" s="1"/>
  <c r="E14" i="18" s="1"/>
  <c r="F14" i="18" s="1"/>
  <c r="G14" i="18" s="1"/>
  <c r="H14" i="18" s="1"/>
  <c r="I14" i="18" s="1"/>
  <c r="J14" i="18" s="1"/>
  <c r="K14" i="18" s="1"/>
  <c r="L14" i="18" s="1"/>
  <c r="M14" i="18" s="1"/>
  <c r="D11" i="18"/>
  <c r="D13" i="18" s="1"/>
  <c r="G8" i="18"/>
  <c r="F8" i="18"/>
  <c r="E8" i="18"/>
  <c r="F20" i="17"/>
  <c r="D14" i="17"/>
  <c r="E14" i="17" s="1"/>
  <c r="F14" i="17" s="1"/>
  <c r="G14" i="17" s="1"/>
  <c r="H14" i="17" s="1"/>
  <c r="I14" i="17" s="1"/>
  <c r="J14" i="17" s="1"/>
  <c r="K14" i="17" s="1"/>
  <c r="L14" i="17" s="1"/>
  <c r="M14" i="17" s="1"/>
  <c r="C14" i="17"/>
  <c r="D13" i="17"/>
  <c r="D11" i="17"/>
  <c r="E11" i="17" s="1"/>
  <c r="E13" i="17" s="1"/>
  <c r="G8" i="17"/>
  <c r="F8" i="17"/>
  <c r="E8" i="17"/>
  <c r="F20" i="15"/>
  <c r="C14" i="15"/>
  <c r="D14" i="15" s="1"/>
  <c r="E14" i="15" s="1"/>
  <c r="F14" i="15" s="1"/>
  <c r="G14" i="15" s="1"/>
  <c r="H14" i="15" s="1"/>
  <c r="I14" i="15" s="1"/>
  <c r="J14" i="15" s="1"/>
  <c r="K14" i="15" s="1"/>
  <c r="L14" i="15" s="1"/>
  <c r="M14" i="15" s="1"/>
  <c r="D11" i="15"/>
  <c r="G8" i="15"/>
  <c r="F8" i="15"/>
  <c r="E8" i="15"/>
  <c r="F20" i="14"/>
  <c r="E14" i="14"/>
  <c r="F14" i="14" s="1"/>
  <c r="G14" i="14" s="1"/>
  <c r="H14" i="14" s="1"/>
  <c r="I14" i="14" s="1"/>
  <c r="J14" i="14" s="1"/>
  <c r="K14" i="14" s="1"/>
  <c r="L14" i="14" s="1"/>
  <c r="M14" i="14" s="1"/>
  <c r="D14" i="14"/>
  <c r="C14" i="14"/>
  <c r="D13" i="14"/>
  <c r="E11" i="14"/>
  <c r="E13" i="14" s="1"/>
  <c r="D11" i="14"/>
  <c r="G8" i="14"/>
  <c r="F8" i="14"/>
  <c r="E8" i="14"/>
  <c r="E11" i="13"/>
  <c r="D11" i="13"/>
  <c r="D13" i="13" s="1"/>
  <c r="G8" i="13"/>
  <c r="F8" i="13"/>
  <c r="E8" i="13"/>
  <c r="D11" i="12"/>
  <c r="E11" i="12" s="1"/>
  <c r="G8" i="12"/>
  <c r="F8" i="12"/>
  <c r="E8" i="12"/>
  <c r="D13" i="11"/>
  <c r="E11" i="11"/>
  <c r="D11" i="11"/>
  <c r="G8" i="11"/>
  <c r="F8" i="11"/>
  <c r="E8" i="11"/>
  <c r="D13" i="8"/>
  <c r="D11" i="8"/>
  <c r="E11" i="8" s="1"/>
  <c r="E13" i="8" s="1"/>
  <c r="G8" i="8"/>
  <c r="F8" i="8"/>
  <c r="E8" i="8"/>
  <c r="F20" i="6"/>
  <c r="D11" i="6"/>
  <c r="D13" i="6" s="1"/>
  <c r="G8" i="6"/>
  <c r="F8" i="6"/>
  <c r="E8" i="6"/>
  <c r="C14" i="5"/>
  <c r="D14" i="5" s="1"/>
  <c r="E14" i="5" s="1"/>
  <c r="F14" i="5" s="1"/>
  <c r="G14" i="5" s="1"/>
  <c r="H14" i="5" s="1"/>
  <c r="I14" i="5" s="1"/>
  <c r="J14" i="5" s="1"/>
  <c r="K14" i="5" s="1"/>
  <c r="L14" i="5" s="1"/>
  <c r="M14" i="5" s="1"/>
  <c r="D11" i="5"/>
  <c r="D13" i="5" s="1"/>
  <c r="F20" i="16"/>
  <c r="D14" i="16"/>
  <c r="E14" i="16" s="1"/>
  <c r="F14" i="16" s="1"/>
  <c r="G14" i="16" s="1"/>
  <c r="H14" i="16" s="1"/>
  <c r="I14" i="16" s="1"/>
  <c r="J14" i="16" s="1"/>
  <c r="K14" i="16" s="1"/>
  <c r="L14" i="16" s="1"/>
  <c r="M14" i="16" s="1"/>
  <c r="C14" i="16"/>
  <c r="D11" i="16"/>
  <c r="E11" i="16" s="1"/>
  <c r="E13" i="16" s="1"/>
  <c r="G8" i="16"/>
  <c r="F8" i="16"/>
  <c r="E8" i="16"/>
  <c r="E15" i="98" l="1"/>
  <c r="F11" i="98"/>
  <c r="E13" i="98"/>
  <c r="D15" i="98"/>
  <c r="G13" i="97"/>
  <c r="H11" i="97"/>
  <c r="E14" i="97"/>
  <c r="D15" i="97"/>
  <c r="D15" i="96"/>
  <c r="E13" i="96"/>
  <c r="E15" i="96"/>
  <c r="F11" i="96"/>
  <c r="D15" i="95"/>
  <c r="E13" i="95"/>
  <c r="F11" i="95"/>
  <c r="F15" i="95" s="1"/>
  <c r="J11" i="79"/>
  <c r="I13" i="79"/>
  <c r="F15" i="79"/>
  <c r="G14" i="79"/>
  <c r="F11" i="94"/>
  <c r="E13" i="94"/>
  <c r="C16" i="93"/>
  <c r="E16" i="93" s="1"/>
  <c r="B17" i="93"/>
  <c r="E13" i="92"/>
  <c r="F11" i="92"/>
  <c r="F13" i="91"/>
  <c r="G11" i="91"/>
  <c r="F13" i="89"/>
  <c r="G11" i="89"/>
  <c r="E13" i="90"/>
  <c r="F11" i="90"/>
  <c r="F11" i="88"/>
  <c r="G11" i="88"/>
  <c r="F13" i="88"/>
  <c r="C15" i="87"/>
  <c r="E15" i="87" s="1"/>
  <c r="B17" i="87"/>
  <c r="B18" i="87" s="1"/>
  <c r="C16" i="86"/>
  <c r="E16" i="86" s="1"/>
  <c r="B17" i="86"/>
  <c r="F11" i="82"/>
  <c r="F13" i="82" s="1"/>
  <c r="E13" i="82"/>
  <c r="C16" i="85"/>
  <c r="E16" i="85" s="1"/>
  <c r="B17" i="85"/>
  <c r="C17" i="84"/>
  <c r="E17" i="84" s="1"/>
  <c r="B18" i="84"/>
  <c r="E13" i="83"/>
  <c r="F11" i="83"/>
  <c r="B17" i="41"/>
  <c r="C16" i="41"/>
  <c r="E16" i="41" s="1"/>
  <c r="G11" i="82"/>
  <c r="E11" i="80"/>
  <c r="D13" i="78"/>
  <c r="E13" i="78"/>
  <c r="F11" i="78"/>
  <c r="E11" i="77"/>
  <c r="E11" i="76"/>
  <c r="D13" i="75"/>
  <c r="F11" i="75"/>
  <c r="E11" i="74"/>
  <c r="D13" i="73"/>
  <c r="E13" i="73"/>
  <c r="F11" i="73"/>
  <c r="E11" i="72"/>
  <c r="E11" i="71"/>
  <c r="F11" i="70"/>
  <c r="E13" i="70"/>
  <c r="D13" i="70"/>
  <c r="E11" i="69"/>
  <c r="E13" i="69" s="1"/>
  <c r="E11" i="68"/>
  <c r="E13" i="68" s="1"/>
  <c r="E13" i="67"/>
  <c r="F11" i="67"/>
  <c r="D13" i="67"/>
  <c r="E11" i="66"/>
  <c r="F11" i="66" s="1"/>
  <c r="F13" i="66" s="1"/>
  <c r="E13" i="66"/>
  <c r="E11" i="65"/>
  <c r="E11" i="64"/>
  <c r="E11" i="63"/>
  <c r="E13" i="63" s="1"/>
  <c r="D13" i="62"/>
  <c r="F11" i="62"/>
  <c r="E11" i="61"/>
  <c r="E13" i="60"/>
  <c r="F11" i="60"/>
  <c r="D13" i="60"/>
  <c r="E11" i="59"/>
  <c r="E11" i="58"/>
  <c r="E11" i="57"/>
  <c r="E11" i="56"/>
  <c r="E11" i="55"/>
  <c r="E13" i="55" s="1"/>
  <c r="E11" i="54"/>
  <c r="D13" i="53"/>
  <c r="F11" i="53"/>
  <c r="E11" i="52"/>
  <c r="E13" i="52" s="1"/>
  <c r="E11" i="51"/>
  <c r="E13" i="51" s="1"/>
  <c r="E11" i="50"/>
  <c r="E11" i="48"/>
  <c r="E11" i="5"/>
  <c r="E13" i="5" s="1"/>
  <c r="E11" i="47"/>
  <c r="E11" i="2"/>
  <c r="D13" i="43"/>
  <c r="E13" i="43"/>
  <c r="F11" i="43"/>
  <c r="E11" i="18"/>
  <c r="E11" i="42"/>
  <c r="E11" i="39"/>
  <c r="E11" i="38"/>
  <c r="E11" i="37"/>
  <c r="D13" i="36"/>
  <c r="F13" i="36"/>
  <c r="G11" i="36"/>
  <c r="E13" i="36"/>
  <c r="E11" i="35"/>
  <c r="E13" i="34"/>
  <c r="F11" i="34"/>
  <c r="D13" i="34"/>
  <c r="E13" i="33"/>
  <c r="F11" i="33"/>
  <c r="D13" i="33"/>
  <c r="E11" i="32"/>
  <c r="F11" i="32" s="1"/>
  <c r="G11" i="32" s="1"/>
  <c r="D13" i="12"/>
  <c r="E11" i="29"/>
  <c r="D13" i="28"/>
  <c r="E13" i="28"/>
  <c r="F11" i="28"/>
  <c r="F11" i="18"/>
  <c r="E13" i="18"/>
  <c r="F11" i="8"/>
  <c r="D13" i="15"/>
  <c r="E11" i="15"/>
  <c r="H11" i="22"/>
  <c r="G13" i="22"/>
  <c r="E11" i="6"/>
  <c r="F11" i="16"/>
  <c r="G13" i="26"/>
  <c r="H13" i="26"/>
  <c r="I13" i="26"/>
  <c r="J11" i="26"/>
  <c r="E13" i="12"/>
  <c r="F11" i="12"/>
  <c r="F11" i="13"/>
  <c r="E13" i="13"/>
  <c r="D13" i="16"/>
  <c r="G13" i="20"/>
  <c r="H11" i="20"/>
  <c r="F11" i="5"/>
  <c r="E13" i="23"/>
  <c r="F13" i="19"/>
  <c r="G11" i="19"/>
  <c r="F11" i="11"/>
  <c r="E13" i="11"/>
  <c r="G11" i="23"/>
  <c r="F13" i="23"/>
  <c r="G11" i="24"/>
  <c r="E11" i="25"/>
  <c r="F11" i="14"/>
  <c r="F11" i="17"/>
  <c r="E11" i="27"/>
  <c r="F13" i="98" l="1"/>
  <c r="F15" i="98"/>
  <c r="G11" i="98"/>
  <c r="F14" i="97"/>
  <c r="E15" i="97"/>
  <c r="H13" i="97"/>
  <c r="I11" i="97"/>
  <c r="F13" i="96"/>
  <c r="F15" i="96"/>
  <c r="G11" i="96"/>
  <c r="F13" i="95"/>
  <c r="G11" i="95"/>
  <c r="G15" i="95" s="1"/>
  <c r="H14" i="79"/>
  <c r="G15" i="79"/>
  <c r="J13" i="79"/>
  <c r="K11" i="79"/>
  <c r="G11" i="94"/>
  <c r="F13" i="94"/>
  <c r="C17" i="93"/>
  <c r="E17" i="93" s="1"/>
  <c r="B18" i="93"/>
  <c r="G11" i="92"/>
  <c r="F13" i="92"/>
  <c r="G13" i="91"/>
  <c r="H11" i="91"/>
  <c r="H11" i="89"/>
  <c r="G13" i="89"/>
  <c r="F13" i="90"/>
  <c r="G11" i="90"/>
  <c r="H11" i="88"/>
  <c r="G13" i="88"/>
  <c r="C17" i="87"/>
  <c r="E17" i="87" s="1"/>
  <c r="B19" i="87"/>
  <c r="C18" i="87"/>
  <c r="E18" i="87" s="1"/>
  <c r="B18" i="86"/>
  <c r="C17" i="86"/>
  <c r="E17" i="86" s="1"/>
  <c r="B18" i="85"/>
  <c r="C17" i="85"/>
  <c r="E17" i="85" s="1"/>
  <c r="B19" i="84"/>
  <c r="C18" i="84"/>
  <c r="E18" i="84" s="1"/>
  <c r="F13" i="83"/>
  <c r="G11" i="83"/>
  <c r="C17" i="41"/>
  <c r="E17" i="41" s="1"/>
  <c r="B18" i="41"/>
  <c r="G13" i="82"/>
  <c r="H11" i="82"/>
  <c r="E13" i="80"/>
  <c r="F11" i="80"/>
  <c r="F13" i="78"/>
  <c r="G11" i="78"/>
  <c r="E13" i="77"/>
  <c r="F11" i="77"/>
  <c r="E13" i="76"/>
  <c r="F11" i="76"/>
  <c r="F13" i="75"/>
  <c r="G11" i="75"/>
  <c r="E13" i="74"/>
  <c r="F11" i="74"/>
  <c r="F13" i="73"/>
  <c r="G11" i="73"/>
  <c r="F11" i="72"/>
  <c r="E13" i="72"/>
  <c r="E13" i="71"/>
  <c r="F11" i="71"/>
  <c r="F13" i="70"/>
  <c r="G11" i="70"/>
  <c r="F11" i="69"/>
  <c r="G11" i="69" s="1"/>
  <c r="F13" i="69"/>
  <c r="F11" i="68"/>
  <c r="F13" i="68" s="1"/>
  <c r="F13" i="67"/>
  <c r="G11" i="67"/>
  <c r="G11" i="66"/>
  <c r="G13" i="66"/>
  <c r="H11" i="66"/>
  <c r="E13" i="65"/>
  <c r="F11" i="65"/>
  <c r="E13" i="64"/>
  <c r="F11" i="64"/>
  <c r="F11" i="63"/>
  <c r="G11" i="63"/>
  <c r="F13" i="63"/>
  <c r="G11" i="62"/>
  <c r="F13" i="62"/>
  <c r="F11" i="61"/>
  <c r="E13" i="61"/>
  <c r="G11" i="60"/>
  <c r="F13" i="60"/>
  <c r="E13" i="59"/>
  <c r="F11" i="59"/>
  <c r="E13" i="58"/>
  <c r="F11" i="58"/>
  <c r="E13" i="57"/>
  <c r="F11" i="57"/>
  <c r="E13" i="56"/>
  <c r="F11" i="56"/>
  <c r="F11" i="55"/>
  <c r="F13" i="55" s="1"/>
  <c r="F11" i="54"/>
  <c r="E13" i="54"/>
  <c r="F13" i="53"/>
  <c r="G11" i="53"/>
  <c r="F11" i="52"/>
  <c r="F13" i="52"/>
  <c r="G11" i="52"/>
  <c r="F11" i="51"/>
  <c r="F13" i="51"/>
  <c r="G11" i="51"/>
  <c r="E13" i="50"/>
  <c r="F11" i="50"/>
  <c r="E13" i="48"/>
  <c r="F11" i="48"/>
  <c r="E13" i="47"/>
  <c r="F11" i="47"/>
  <c r="F11" i="2"/>
  <c r="E13" i="2"/>
  <c r="F13" i="43"/>
  <c r="G11" i="43"/>
  <c r="E13" i="42"/>
  <c r="F11" i="42"/>
  <c r="E13" i="39"/>
  <c r="F11" i="39"/>
  <c r="E13" i="38"/>
  <c r="F11" i="38"/>
  <c r="F11" i="37"/>
  <c r="E13" i="37"/>
  <c r="G13" i="36"/>
  <c r="H11" i="36"/>
  <c r="F11" i="35"/>
  <c r="E13" i="35"/>
  <c r="F13" i="34"/>
  <c r="G11" i="34"/>
  <c r="F13" i="33"/>
  <c r="G11" i="33"/>
  <c r="E13" i="32"/>
  <c r="F13" i="32"/>
  <c r="G13" i="32"/>
  <c r="H11" i="32"/>
  <c r="F11" i="29"/>
  <c r="E13" i="29"/>
  <c r="G11" i="28"/>
  <c r="F13" i="28"/>
  <c r="G11" i="11"/>
  <c r="F13" i="11"/>
  <c r="J13" i="26"/>
  <c r="K11" i="26"/>
  <c r="F13" i="16"/>
  <c r="G11" i="16"/>
  <c r="F11" i="15"/>
  <c r="E13" i="15"/>
  <c r="G11" i="8"/>
  <c r="F13" i="8"/>
  <c r="F13" i="17"/>
  <c r="G11" i="17"/>
  <c r="H11" i="19"/>
  <c r="G13" i="19"/>
  <c r="G11" i="13"/>
  <c r="F13" i="13"/>
  <c r="I11" i="22"/>
  <c r="H13" i="22"/>
  <c r="H11" i="24"/>
  <c r="G13" i="24"/>
  <c r="G11" i="5"/>
  <c r="F13" i="5"/>
  <c r="E13" i="6"/>
  <c r="F11" i="6"/>
  <c r="I11" i="20"/>
  <c r="H13" i="20"/>
  <c r="G11" i="18"/>
  <c r="F13" i="18"/>
  <c r="F13" i="14"/>
  <c r="G11" i="14"/>
  <c r="G11" i="12"/>
  <c r="F13" i="12"/>
  <c r="F11" i="25"/>
  <c r="E13" i="25"/>
  <c r="G13" i="23"/>
  <c r="H11" i="23"/>
  <c r="E13" i="27"/>
  <c r="F11" i="27"/>
  <c r="G13" i="98" l="1"/>
  <c r="G15" i="98"/>
  <c r="H11" i="98"/>
  <c r="G14" i="97"/>
  <c r="F15" i="97"/>
  <c r="I13" i="97"/>
  <c r="J11" i="97"/>
  <c r="G15" i="96"/>
  <c r="H11" i="96"/>
  <c r="G13" i="96"/>
  <c r="H11" i="95"/>
  <c r="H15" i="95" s="1"/>
  <c r="G13" i="95"/>
  <c r="L11" i="79"/>
  <c r="K13" i="79"/>
  <c r="I14" i="79"/>
  <c r="H15" i="79"/>
  <c r="G13" i="94"/>
  <c r="H11" i="94"/>
  <c r="C18" i="93"/>
  <c r="E18" i="93" s="1"/>
  <c r="B19" i="93"/>
  <c r="G13" i="92"/>
  <c r="H11" i="92"/>
  <c r="I11" i="91"/>
  <c r="H13" i="91"/>
  <c r="I11" i="89"/>
  <c r="H13" i="89"/>
  <c r="G13" i="90"/>
  <c r="H11" i="90"/>
  <c r="H13" i="88"/>
  <c r="I11" i="88"/>
  <c r="C19" i="87"/>
  <c r="E19" i="87" s="1"/>
  <c r="B23" i="87" s="1"/>
  <c r="B24" i="87"/>
  <c r="B25" i="87" s="1"/>
  <c r="C18" i="86"/>
  <c r="E18" i="86" s="1"/>
  <c r="B19" i="86"/>
  <c r="C18" i="85"/>
  <c r="E18" i="85" s="1"/>
  <c r="B19" i="85"/>
  <c r="B24" i="84"/>
  <c r="B25" i="84" s="1"/>
  <c r="C19" i="84"/>
  <c r="E19" i="84" s="1"/>
  <c r="B23" i="84" s="1"/>
  <c r="B26" i="84" s="1"/>
  <c r="B28" i="84" s="1"/>
  <c r="B30" i="84" s="1"/>
  <c r="E22" i="84" s="1"/>
  <c r="E24" i="84" s="1"/>
  <c r="E25" i="84" s="1"/>
  <c r="G13" i="83"/>
  <c r="H11" i="83"/>
  <c r="C18" i="41"/>
  <c r="E18" i="41" s="1"/>
  <c r="B19" i="41"/>
  <c r="I11" i="82"/>
  <c r="H13" i="82"/>
  <c r="G11" i="80"/>
  <c r="F13" i="80"/>
  <c r="G13" i="78"/>
  <c r="H11" i="78"/>
  <c r="G11" i="77"/>
  <c r="F13" i="77"/>
  <c r="F13" i="76"/>
  <c r="G11" i="76"/>
  <c r="G13" i="75"/>
  <c r="H11" i="75"/>
  <c r="G11" i="74"/>
  <c r="F13" i="74"/>
  <c r="G13" i="73"/>
  <c r="H11" i="73"/>
  <c r="F13" i="72"/>
  <c r="G11" i="72"/>
  <c r="F13" i="71"/>
  <c r="G11" i="71"/>
  <c r="G13" i="70"/>
  <c r="H11" i="70"/>
  <c r="G13" i="69"/>
  <c r="H11" i="69"/>
  <c r="G11" i="68"/>
  <c r="G13" i="68"/>
  <c r="H11" i="68"/>
  <c r="G13" i="67"/>
  <c r="H11" i="67"/>
  <c r="I11" i="66"/>
  <c r="H13" i="66"/>
  <c r="G11" i="65"/>
  <c r="F13" i="65"/>
  <c r="G11" i="64"/>
  <c r="F13" i="64"/>
  <c r="G13" i="63"/>
  <c r="H11" i="63"/>
  <c r="G13" i="62"/>
  <c r="H11" i="62"/>
  <c r="G11" i="61"/>
  <c r="F13" i="61"/>
  <c r="G13" i="60"/>
  <c r="H11" i="60"/>
  <c r="F13" i="59"/>
  <c r="G11" i="59"/>
  <c r="F13" i="58"/>
  <c r="G11" i="58"/>
  <c r="F13" i="57"/>
  <c r="G11" i="57"/>
  <c r="F13" i="56"/>
  <c r="G11" i="56"/>
  <c r="G11" i="55"/>
  <c r="G13" i="55" s="1"/>
  <c r="H11" i="55"/>
  <c r="F13" i="54"/>
  <c r="G11" i="54"/>
  <c r="G13" i="53"/>
  <c r="H11" i="53"/>
  <c r="G13" i="52"/>
  <c r="H11" i="52"/>
  <c r="H11" i="51"/>
  <c r="G13" i="51"/>
  <c r="G11" i="50"/>
  <c r="F13" i="50"/>
  <c r="F13" i="48"/>
  <c r="G11" i="48"/>
  <c r="F13" i="47"/>
  <c r="G11" i="47"/>
  <c r="F13" i="2"/>
  <c r="G11" i="2"/>
  <c r="H11" i="43"/>
  <c r="G13" i="43"/>
  <c r="F13" i="42"/>
  <c r="G11" i="42"/>
  <c r="G11" i="39"/>
  <c r="F13" i="39"/>
  <c r="F13" i="38"/>
  <c r="G11" i="38"/>
  <c r="F13" i="37"/>
  <c r="G11" i="37"/>
  <c r="I11" i="36"/>
  <c r="H13" i="36"/>
  <c r="F13" i="35"/>
  <c r="G11" i="35"/>
  <c r="G13" i="34"/>
  <c r="H11" i="34"/>
  <c r="G13" i="33"/>
  <c r="H11" i="33"/>
  <c r="H13" i="32"/>
  <c r="I11" i="32"/>
  <c r="F13" i="29"/>
  <c r="G11" i="29"/>
  <c r="G13" i="28"/>
  <c r="H11" i="28"/>
  <c r="I11" i="24"/>
  <c r="H13" i="24"/>
  <c r="H11" i="12"/>
  <c r="G13" i="12"/>
  <c r="I13" i="22"/>
  <c r="J11" i="22"/>
  <c r="G13" i="11"/>
  <c r="H11" i="11"/>
  <c r="J11" i="20"/>
  <c r="I13" i="20"/>
  <c r="G11" i="6"/>
  <c r="F13" i="6"/>
  <c r="G13" i="13"/>
  <c r="H11" i="13"/>
  <c r="H11" i="8"/>
  <c r="G13" i="8"/>
  <c r="I11" i="19"/>
  <c r="H13" i="19"/>
  <c r="H11" i="16"/>
  <c r="G13" i="16"/>
  <c r="G13" i="18"/>
  <c r="H11" i="18"/>
  <c r="H11" i="5"/>
  <c r="G13" i="5"/>
  <c r="H11" i="17"/>
  <c r="G13" i="17"/>
  <c r="L11" i="26"/>
  <c r="K13" i="26"/>
  <c r="H11" i="14"/>
  <c r="G13" i="14"/>
  <c r="G11" i="15"/>
  <c r="F13" i="15"/>
  <c r="H13" i="23"/>
  <c r="I11" i="23"/>
  <c r="G11" i="25"/>
  <c r="F13" i="25"/>
  <c r="G11" i="27"/>
  <c r="F13" i="27"/>
  <c r="H13" i="98" l="1"/>
  <c r="H15" i="98"/>
  <c r="I11" i="98"/>
  <c r="J13" i="97"/>
  <c r="K11" i="97"/>
  <c r="H14" i="97"/>
  <c r="G15" i="97"/>
  <c r="H13" i="96"/>
  <c r="H15" i="96"/>
  <c r="I11" i="96"/>
  <c r="H13" i="95"/>
  <c r="I11" i="95"/>
  <c r="I15" i="95" s="1"/>
  <c r="J14" i="79"/>
  <c r="I15" i="79"/>
  <c r="M11" i="79"/>
  <c r="L13" i="79"/>
  <c r="I11" i="94"/>
  <c r="H13" i="94"/>
  <c r="C19" i="93"/>
  <c r="E19" i="93" s="1"/>
  <c r="B24" i="93"/>
  <c r="B25" i="93" s="1"/>
  <c r="B23" i="93"/>
  <c r="H13" i="92"/>
  <c r="I11" i="92"/>
  <c r="J11" i="91"/>
  <c r="I13" i="91"/>
  <c r="J11" i="89"/>
  <c r="I13" i="89"/>
  <c r="I11" i="90"/>
  <c r="H13" i="90"/>
  <c r="I13" i="88"/>
  <c r="J11" i="88"/>
  <c r="B26" i="87"/>
  <c r="B28" i="87" s="1"/>
  <c r="B30" i="87" s="1"/>
  <c r="E22" i="87" s="1"/>
  <c r="E24" i="87" s="1"/>
  <c r="E25" i="87" s="1"/>
  <c r="C19" i="86"/>
  <c r="E19" i="86" s="1"/>
  <c r="B23" i="86" s="1"/>
  <c r="B24" i="86"/>
  <c r="B25" i="86" s="1"/>
  <c r="C19" i="85"/>
  <c r="E19" i="85" s="1"/>
  <c r="B23" i="85" s="1"/>
  <c r="B24" i="85"/>
  <c r="B25" i="85" s="1"/>
  <c r="H12" i="83"/>
  <c r="H13" i="83" s="1"/>
  <c r="C17" i="83" s="1"/>
  <c r="B24" i="41"/>
  <c r="B25" i="41" s="1"/>
  <c r="C19" i="41"/>
  <c r="E19" i="41" s="1"/>
  <c r="B23" i="41" s="1"/>
  <c r="J11" i="82"/>
  <c r="I13" i="82"/>
  <c r="G13" i="80"/>
  <c r="H11" i="80"/>
  <c r="H13" i="78"/>
  <c r="I11" i="78"/>
  <c r="G13" i="77"/>
  <c r="H11" i="77"/>
  <c r="G13" i="76"/>
  <c r="H11" i="76"/>
  <c r="I11" i="75"/>
  <c r="H13" i="75"/>
  <c r="G13" i="74"/>
  <c r="H11" i="74"/>
  <c r="I11" i="73"/>
  <c r="H13" i="73"/>
  <c r="G13" i="72"/>
  <c r="H11" i="72"/>
  <c r="G13" i="71"/>
  <c r="H11" i="71"/>
  <c r="I11" i="70"/>
  <c r="H13" i="70"/>
  <c r="I11" i="69"/>
  <c r="H13" i="69"/>
  <c r="I11" i="68"/>
  <c r="H13" i="68"/>
  <c r="I11" i="67"/>
  <c r="H13" i="67"/>
  <c r="J11" i="66"/>
  <c r="I13" i="66"/>
  <c r="G13" i="65"/>
  <c r="H11" i="65"/>
  <c r="G13" i="64"/>
  <c r="H11" i="64"/>
  <c r="I11" i="63"/>
  <c r="H13" i="63"/>
  <c r="H13" i="62"/>
  <c r="I11" i="62"/>
  <c r="G13" i="61"/>
  <c r="H11" i="61"/>
  <c r="I11" i="60"/>
  <c r="H13" i="60"/>
  <c r="G13" i="59"/>
  <c r="H11" i="59"/>
  <c r="G13" i="58"/>
  <c r="H11" i="58"/>
  <c r="G13" i="57"/>
  <c r="H11" i="57"/>
  <c r="G13" i="56"/>
  <c r="H11" i="56"/>
  <c r="I11" i="55"/>
  <c r="H13" i="55"/>
  <c r="G13" i="54"/>
  <c r="H11" i="54"/>
  <c r="I11" i="53"/>
  <c r="H13" i="53"/>
  <c r="H13" i="52"/>
  <c r="I11" i="52"/>
  <c r="I11" i="51"/>
  <c r="H13" i="51"/>
  <c r="G13" i="50"/>
  <c r="H11" i="50"/>
  <c r="G13" i="48"/>
  <c r="H11" i="48"/>
  <c r="G13" i="47"/>
  <c r="H11" i="47"/>
  <c r="G13" i="2"/>
  <c r="H11" i="2"/>
  <c r="I11" i="43"/>
  <c r="H13" i="43"/>
  <c r="G13" i="42"/>
  <c r="H11" i="42"/>
  <c r="H11" i="39"/>
  <c r="G13" i="39"/>
  <c r="H11" i="38"/>
  <c r="G13" i="38"/>
  <c r="G13" i="37"/>
  <c r="H11" i="37"/>
  <c r="J11" i="36"/>
  <c r="I13" i="36"/>
  <c r="G13" i="35"/>
  <c r="H11" i="35"/>
  <c r="I11" i="34"/>
  <c r="H13" i="34"/>
  <c r="H13" i="33"/>
  <c r="I11" i="33"/>
  <c r="J11" i="32"/>
  <c r="I13" i="32"/>
  <c r="G13" i="29"/>
  <c r="H11" i="29"/>
  <c r="I11" i="28"/>
  <c r="H13" i="28"/>
  <c r="G13" i="25"/>
  <c r="H11" i="25"/>
  <c r="M11" i="26"/>
  <c r="L13" i="26"/>
  <c r="I13" i="19"/>
  <c r="J11" i="19"/>
  <c r="G13" i="6"/>
  <c r="H11" i="6"/>
  <c r="J13" i="22"/>
  <c r="K11" i="22"/>
  <c r="J11" i="23"/>
  <c r="I13" i="23"/>
  <c r="H13" i="5"/>
  <c r="I11" i="5"/>
  <c r="I11" i="8"/>
  <c r="H13" i="8"/>
  <c r="H13" i="11"/>
  <c r="I11" i="11"/>
  <c r="H13" i="12"/>
  <c r="I11" i="12"/>
  <c r="G13" i="15"/>
  <c r="H11" i="15"/>
  <c r="I13" i="24"/>
  <c r="J11" i="24"/>
  <c r="I11" i="14"/>
  <c r="H13" i="14"/>
  <c r="I11" i="17"/>
  <c r="H13" i="17"/>
  <c r="I11" i="16"/>
  <c r="H13" i="16"/>
  <c r="K11" i="20"/>
  <c r="J13" i="20"/>
  <c r="H13" i="18"/>
  <c r="I11" i="18"/>
  <c r="H13" i="13"/>
  <c r="I11" i="13"/>
  <c r="G13" i="27"/>
  <c r="H11" i="27"/>
  <c r="I13" i="98" l="1"/>
  <c r="I15" i="98"/>
  <c r="J11" i="98"/>
  <c r="L11" i="97"/>
  <c r="K13" i="97"/>
  <c r="I14" i="97"/>
  <c r="H15" i="97"/>
  <c r="I13" i="96"/>
  <c r="I15" i="96"/>
  <c r="J11" i="96"/>
  <c r="I13" i="95"/>
  <c r="J11" i="95"/>
  <c r="J15" i="95" s="1"/>
  <c r="M12" i="79"/>
  <c r="M13" i="79"/>
  <c r="C18" i="79" s="1"/>
  <c r="C21" i="79" s="1"/>
  <c r="C23" i="79" s="1"/>
  <c r="K14" i="79"/>
  <c r="J15" i="79"/>
  <c r="J11" i="94"/>
  <c r="I13" i="94"/>
  <c r="B26" i="93"/>
  <c r="B28" i="93" s="1"/>
  <c r="B30" i="93" s="1"/>
  <c r="E22" i="93" s="1"/>
  <c r="E24" i="93" s="1"/>
  <c r="E25" i="93" s="1"/>
  <c r="J11" i="92"/>
  <c r="I13" i="92"/>
  <c r="J13" i="91"/>
  <c r="K11" i="91"/>
  <c r="J13" i="89"/>
  <c r="K11" i="89"/>
  <c r="J11" i="90"/>
  <c r="I13" i="90"/>
  <c r="J13" i="88"/>
  <c r="K11" i="88"/>
  <c r="B26" i="86"/>
  <c r="B28" i="86" s="1"/>
  <c r="B30" i="86" s="1"/>
  <c r="E22" i="86" s="1"/>
  <c r="E24" i="86" s="1"/>
  <c r="E25" i="86" s="1"/>
  <c r="B26" i="85"/>
  <c r="B28" i="85" s="1"/>
  <c r="B30" i="85" s="1"/>
  <c r="E22" i="85" s="1"/>
  <c r="E24" i="85" s="1"/>
  <c r="E25" i="85" s="1"/>
  <c r="B26" i="41"/>
  <c r="B28" i="41" s="1"/>
  <c r="B30" i="41" s="1"/>
  <c r="E22" i="41" s="1"/>
  <c r="E24" i="41" s="1"/>
  <c r="E25" i="41" s="1"/>
  <c r="J13" i="82"/>
  <c r="K11" i="82"/>
  <c r="I11" i="80"/>
  <c r="H13" i="80"/>
  <c r="J11" i="78"/>
  <c r="I13" i="78"/>
  <c r="I11" i="77"/>
  <c r="H13" i="77"/>
  <c r="I11" i="76"/>
  <c r="H13" i="76"/>
  <c r="J11" i="75"/>
  <c r="I13" i="75"/>
  <c r="I11" i="74"/>
  <c r="H13" i="74"/>
  <c r="J11" i="73"/>
  <c r="I13" i="73"/>
  <c r="I11" i="72"/>
  <c r="H13" i="72"/>
  <c r="I11" i="71"/>
  <c r="H13" i="71"/>
  <c r="J11" i="70"/>
  <c r="I13" i="70"/>
  <c r="J11" i="69"/>
  <c r="I13" i="69"/>
  <c r="J11" i="68"/>
  <c r="I13" i="68"/>
  <c r="J11" i="67"/>
  <c r="I13" i="67"/>
  <c r="J13" i="66"/>
  <c r="K11" i="66"/>
  <c r="I11" i="65"/>
  <c r="H13" i="65"/>
  <c r="I11" i="64"/>
  <c r="H13" i="64"/>
  <c r="J11" i="63"/>
  <c r="I13" i="63"/>
  <c r="J11" i="62"/>
  <c r="I13" i="62"/>
  <c r="I11" i="61"/>
  <c r="H13" i="61"/>
  <c r="J11" i="60"/>
  <c r="I13" i="60"/>
  <c r="I11" i="59"/>
  <c r="H13" i="59"/>
  <c r="I11" i="58"/>
  <c r="H13" i="58"/>
  <c r="I11" i="57"/>
  <c r="H13" i="57"/>
  <c r="I11" i="56"/>
  <c r="H13" i="56"/>
  <c r="J11" i="55"/>
  <c r="I13" i="55"/>
  <c r="I11" i="54"/>
  <c r="H13" i="54"/>
  <c r="J11" i="53"/>
  <c r="I13" i="53"/>
  <c r="J11" i="52"/>
  <c r="I13" i="52"/>
  <c r="I13" i="51"/>
  <c r="J11" i="51"/>
  <c r="H13" i="50"/>
  <c r="I11" i="50"/>
  <c r="I11" i="48"/>
  <c r="H13" i="48"/>
  <c r="I11" i="47"/>
  <c r="H13" i="47"/>
  <c r="I11" i="2"/>
  <c r="H13" i="2"/>
  <c r="J11" i="43"/>
  <c r="I13" i="43"/>
  <c r="H13" i="42"/>
  <c r="I11" i="42"/>
  <c r="I11" i="39"/>
  <c r="H13" i="39"/>
  <c r="I11" i="38"/>
  <c r="H13" i="38"/>
  <c r="I11" i="37"/>
  <c r="H13" i="37"/>
  <c r="J13" i="36"/>
  <c r="K11" i="36"/>
  <c r="I11" i="35"/>
  <c r="H13" i="35"/>
  <c r="J11" i="34"/>
  <c r="I13" i="34"/>
  <c r="J11" i="33"/>
  <c r="I13" i="33"/>
  <c r="J13" i="32"/>
  <c r="K11" i="32"/>
  <c r="I11" i="29"/>
  <c r="H13" i="29"/>
  <c r="J11" i="28"/>
  <c r="I13" i="28"/>
  <c r="K11" i="23"/>
  <c r="J13" i="23"/>
  <c r="J11" i="11"/>
  <c r="I13" i="11"/>
  <c r="J11" i="16"/>
  <c r="I13" i="16"/>
  <c r="K11" i="24"/>
  <c r="J13" i="24"/>
  <c r="H13" i="25"/>
  <c r="I11" i="25"/>
  <c r="I13" i="17"/>
  <c r="J11" i="17"/>
  <c r="J13" i="19"/>
  <c r="K11" i="19"/>
  <c r="J11" i="13"/>
  <c r="I13" i="13"/>
  <c r="I13" i="8"/>
  <c r="J11" i="8"/>
  <c r="M12" i="26"/>
  <c r="M13" i="26" s="1"/>
  <c r="C17" i="26" s="1"/>
  <c r="C20" i="26" s="1"/>
  <c r="C22" i="26" s="1"/>
  <c r="K13" i="20"/>
  <c r="L11" i="20"/>
  <c r="I11" i="15"/>
  <c r="H13" i="15"/>
  <c r="J11" i="5"/>
  <c r="I13" i="5"/>
  <c r="L11" i="22"/>
  <c r="K13" i="22"/>
  <c r="J11" i="18"/>
  <c r="I13" i="18"/>
  <c r="I13" i="14"/>
  <c r="J11" i="14"/>
  <c r="I13" i="12"/>
  <c r="J11" i="12"/>
  <c r="H13" i="6"/>
  <c r="I11" i="6"/>
  <c r="I11" i="27"/>
  <c r="H13" i="27"/>
  <c r="J13" i="98" l="1"/>
  <c r="K11" i="98"/>
  <c r="J15" i="98"/>
  <c r="M11" i="97"/>
  <c r="L13" i="97"/>
  <c r="J14" i="97"/>
  <c r="I15" i="97"/>
  <c r="J15" i="96"/>
  <c r="K11" i="96"/>
  <c r="J13" i="96"/>
  <c r="J13" i="95"/>
  <c r="K11" i="95"/>
  <c r="K15" i="95" s="1"/>
  <c r="C25" i="79"/>
  <c r="C26" i="79" s="1"/>
  <c r="F24" i="79"/>
  <c r="L14" i="79"/>
  <c r="K15" i="79"/>
  <c r="K11" i="94"/>
  <c r="J13" i="94"/>
  <c r="J13" i="92"/>
  <c r="K11" i="92"/>
  <c r="L11" i="91"/>
  <c r="K13" i="91"/>
  <c r="K13" i="89"/>
  <c r="L11" i="89"/>
  <c r="K11" i="90"/>
  <c r="J13" i="90"/>
  <c r="K13" i="88"/>
  <c r="L11" i="88"/>
  <c r="K13" i="82"/>
  <c r="L11" i="82"/>
  <c r="J11" i="80"/>
  <c r="I13" i="80"/>
  <c r="J13" i="78"/>
  <c r="K11" i="78"/>
  <c r="J11" i="77"/>
  <c r="I13" i="77"/>
  <c r="J11" i="76"/>
  <c r="I13" i="76"/>
  <c r="J13" i="75"/>
  <c r="K11" i="75"/>
  <c r="J11" i="74"/>
  <c r="I13" i="74"/>
  <c r="K11" i="73"/>
  <c r="J13" i="73"/>
  <c r="J11" i="72"/>
  <c r="I13" i="72"/>
  <c r="J11" i="71"/>
  <c r="I13" i="71"/>
  <c r="K11" i="70"/>
  <c r="J13" i="70"/>
  <c r="J13" i="69"/>
  <c r="K11" i="69"/>
  <c r="J13" i="68"/>
  <c r="K11" i="68"/>
  <c r="J13" i="67"/>
  <c r="K11" i="67"/>
  <c r="L11" i="66"/>
  <c r="K13" i="66"/>
  <c r="J11" i="65"/>
  <c r="I13" i="65"/>
  <c r="J11" i="64"/>
  <c r="I13" i="64"/>
  <c r="J13" i="63"/>
  <c r="K11" i="63"/>
  <c r="J13" i="62"/>
  <c r="K11" i="62"/>
  <c r="J11" i="61"/>
  <c r="I13" i="61"/>
  <c r="J13" i="60"/>
  <c r="K11" i="60"/>
  <c r="J11" i="59"/>
  <c r="I13" i="59"/>
  <c r="J11" i="58"/>
  <c r="I13" i="58"/>
  <c r="J11" i="57"/>
  <c r="I13" i="57"/>
  <c r="J11" i="56"/>
  <c r="I13" i="56"/>
  <c r="J13" i="55"/>
  <c r="K11" i="55"/>
  <c r="J11" i="54"/>
  <c r="I13" i="54"/>
  <c r="J13" i="53"/>
  <c r="K11" i="53"/>
  <c r="J13" i="52"/>
  <c r="K11" i="52"/>
  <c r="J13" i="51"/>
  <c r="K11" i="51"/>
  <c r="J11" i="50"/>
  <c r="I13" i="50"/>
  <c r="J11" i="48"/>
  <c r="I13" i="48"/>
  <c r="J11" i="47"/>
  <c r="I13" i="47"/>
  <c r="J11" i="2"/>
  <c r="I13" i="2"/>
  <c r="J13" i="43"/>
  <c r="K11" i="43"/>
  <c r="J11" i="42"/>
  <c r="I13" i="42"/>
  <c r="J11" i="39"/>
  <c r="I13" i="38"/>
  <c r="J11" i="38"/>
  <c r="J11" i="37"/>
  <c r="I13" i="37"/>
  <c r="K13" i="36"/>
  <c r="L11" i="36"/>
  <c r="J11" i="35"/>
  <c r="I13" i="35"/>
  <c r="J13" i="34"/>
  <c r="K11" i="34"/>
  <c r="J13" i="33"/>
  <c r="K11" i="33"/>
  <c r="L11" i="32"/>
  <c r="K13" i="32"/>
  <c r="J11" i="29"/>
  <c r="I13" i="29"/>
  <c r="J13" i="28"/>
  <c r="K11" i="28"/>
  <c r="F16" i="26"/>
  <c r="C24" i="26"/>
  <c r="C25" i="26" s="1"/>
  <c r="K11" i="13"/>
  <c r="J13" i="13"/>
  <c r="K11" i="16"/>
  <c r="J13" i="16"/>
  <c r="J11" i="6"/>
  <c r="I13" i="6"/>
  <c r="J13" i="14"/>
  <c r="K11" i="14"/>
  <c r="M11" i="22"/>
  <c r="L13" i="22"/>
  <c r="J11" i="25"/>
  <c r="I13" i="25"/>
  <c r="J13" i="5"/>
  <c r="K11" i="5"/>
  <c r="K13" i="23"/>
  <c r="L11" i="23"/>
  <c r="J13" i="12"/>
  <c r="K11" i="12"/>
  <c r="J11" i="15"/>
  <c r="I13" i="15"/>
  <c r="J13" i="8"/>
  <c r="K11" i="8"/>
  <c r="L11" i="19"/>
  <c r="K13" i="19"/>
  <c r="K11" i="11"/>
  <c r="J13" i="11"/>
  <c r="L11" i="24"/>
  <c r="K13" i="24"/>
  <c r="K11" i="18"/>
  <c r="J13" i="18"/>
  <c r="L13" i="20"/>
  <c r="M11" i="20"/>
  <c r="J13" i="17"/>
  <c r="K11" i="17"/>
  <c r="J11" i="27"/>
  <c r="I13" i="27"/>
  <c r="K15" i="98" l="1"/>
  <c r="L11" i="98"/>
  <c r="K13" i="98"/>
  <c r="M12" i="97"/>
  <c r="M13" i="97"/>
  <c r="C18" i="97" s="1"/>
  <c r="C21" i="97" s="1"/>
  <c r="C23" i="97" s="1"/>
  <c r="K14" i="97"/>
  <c r="J15" i="97"/>
  <c r="K15" i="96"/>
  <c r="K13" i="96"/>
  <c r="L11" i="96"/>
  <c r="L11" i="95"/>
  <c r="L15" i="95" s="1"/>
  <c r="K13" i="95"/>
  <c r="M14" i="79"/>
  <c r="M15" i="79" s="1"/>
  <c r="L15" i="79"/>
  <c r="K13" i="94"/>
  <c r="L11" i="94"/>
  <c r="K13" i="92"/>
  <c r="L11" i="92"/>
  <c r="L13" i="91"/>
  <c r="M11" i="91"/>
  <c r="L13" i="89"/>
  <c r="M11" i="89"/>
  <c r="K13" i="90"/>
  <c r="L11" i="90"/>
  <c r="M11" i="88"/>
  <c r="L13" i="88"/>
  <c r="L13" i="82"/>
  <c r="M11" i="82"/>
  <c r="J13" i="80"/>
  <c r="K11" i="80"/>
  <c r="K13" i="78"/>
  <c r="L11" i="78"/>
  <c r="K11" i="77"/>
  <c r="J13" i="77"/>
  <c r="J13" i="76"/>
  <c r="K11" i="76"/>
  <c r="K13" i="75"/>
  <c r="L11" i="75"/>
  <c r="J13" i="74"/>
  <c r="K11" i="74"/>
  <c r="K13" i="73"/>
  <c r="L11" i="73"/>
  <c r="J13" i="72"/>
  <c r="K11" i="72"/>
  <c r="J13" i="71"/>
  <c r="K11" i="71"/>
  <c r="L11" i="70"/>
  <c r="K13" i="70"/>
  <c r="K13" i="69"/>
  <c r="L11" i="69"/>
  <c r="K13" i="68"/>
  <c r="L11" i="68"/>
  <c r="K13" i="67"/>
  <c r="L11" i="67"/>
  <c r="M11" i="66"/>
  <c r="L13" i="66"/>
  <c r="J13" i="65"/>
  <c r="K11" i="65"/>
  <c r="J13" i="64"/>
  <c r="K11" i="64"/>
  <c r="K13" i="63"/>
  <c r="L11" i="63"/>
  <c r="K13" i="62"/>
  <c r="L11" i="62"/>
  <c r="J13" i="61"/>
  <c r="K11" i="61"/>
  <c r="L11" i="60"/>
  <c r="K13" i="60"/>
  <c r="J13" i="59"/>
  <c r="K11" i="59"/>
  <c r="J13" i="58"/>
  <c r="K11" i="58"/>
  <c r="J13" i="57"/>
  <c r="K11" i="57"/>
  <c r="K11" i="56"/>
  <c r="J13" i="56"/>
  <c r="K13" i="55"/>
  <c r="L11" i="55"/>
  <c r="K11" i="54"/>
  <c r="J13" i="54"/>
  <c r="K13" i="53"/>
  <c r="L11" i="53"/>
  <c r="K13" i="52"/>
  <c r="L11" i="52"/>
  <c r="K13" i="51"/>
  <c r="L11" i="51"/>
  <c r="K11" i="50"/>
  <c r="J13" i="50"/>
  <c r="J13" i="48"/>
  <c r="K11" i="48"/>
  <c r="K11" i="47"/>
  <c r="J13" i="47"/>
  <c r="J13" i="2"/>
  <c r="K11" i="2"/>
  <c r="K13" i="43"/>
  <c r="L11" i="43"/>
  <c r="J13" i="42"/>
  <c r="K11" i="42"/>
  <c r="J13" i="39"/>
  <c r="K11" i="39"/>
  <c r="J13" i="38"/>
  <c r="K11" i="38"/>
  <c r="K11" i="37"/>
  <c r="J13" i="37"/>
  <c r="L13" i="36"/>
  <c r="M11" i="36"/>
  <c r="J13" i="35"/>
  <c r="K11" i="35"/>
  <c r="K13" i="34"/>
  <c r="L11" i="34"/>
  <c r="K13" i="33"/>
  <c r="L11" i="33"/>
  <c r="L13" i="32"/>
  <c r="M11" i="32"/>
  <c r="J13" i="29"/>
  <c r="K11" i="29"/>
  <c r="K13" i="28"/>
  <c r="L11" i="28"/>
  <c r="L11" i="17"/>
  <c r="K13" i="17"/>
  <c r="L13" i="19"/>
  <c r="M11" i="19"/>
  <c r="K13" i="11"/>
  <c r="L11" i="11"/>
  <c r="M12" i="20"/>
  <c r="M13" i="20"/>
  <c r="C17" i="20" s="1"/>
  <c r="C20" i="20" s="1"/>
  <c r="C22" i="20" s="1"/>
  <c r="L11" i="16"/>
  <c r="K13" i="16"/>
  <c r="M11" i="24"/>
  <c r="L13" i="24"/>
  <c r="L11" i="8"/>
  <c r="K13" i="8"/>
  <c r="L11" i="14"/>
  <c r="K13" i="14"/>
  <c r="M11" i="23"/>
  <c r="L13" i="23"/>
  <c r="K11" i="25"/>
  <c r="J13" i="25"/>
  <c r="K13" i="13"/>
  <c r="L11" i="13"/>
  <c r="K13" i="18"/>
  <c r="L11" i="18"/>
  <c r="K11" i="15"/>
  <c r="J13" i="15"/>
  <c r="M12" i="22"/>
  <c r="M13" i="22" s="1"/>
  <c r="C17" i="22" s="1"/>
  <c r="C20" i="22" s="1"/>
  <c r="C22" i="22" s="1"/>
  <c r="K11" i="6"/>
  <c r="J13" i="6"/>
  <c r="L11" i="12"/>
  <c r="K13" i="12"/>
  <c r="L11" i="5"/>
  <c r="K13" i="5"/>
  <c r="J13" i="27"/>
  <c r="K11" i="27"/>
  <c r="L15" i="98" l="1"/>
  <c r="M11" i="98"/>
  <c r="L13" i="98"/>
  <c r="C25" i="97"/>
  <c r="C26" i="97" s="1"/>
  <c r="F24" i="97"/>
  <c r="L14" i="97"/>
  <c r="K15" i="97"/>
  <c r="L13" i="96"/>
  <c r="L15" i="96"/>
  <c r="M11" i="96"/>
  <c r="M11" i="95"/>
  <c r="M15" i="95" s="1"/>
  <c r="L13" i="95"/>
  <c r="M11" i="94"/>
  <c r="L13" i="94"/>
  <c r="L13" i="92"/>
  <c r="M11" i="92"/>
  <c r="M12" i="91"/>
  <c r="M13" i="91" s="1"/>
  <c r="C17" i="91" s="1"/>
  <c r="C20" i="91" s="1"/>
  <c r="C22" i="91" s="1"/>
  <c r="M12" i="89"/>
  <c r="M13" i="89" s="1"/>
  <c r="C17" i="89" s="1"/>
  <c r="C20" i="89" s="1"/>
  <c r="C22" i="89" s="1"/>
  <c r="L13" i="90"/>
  <c r="M11" i="90"/>
  <c r="M12" i="88"/>
  <c r="M13" i="88" s="1"/>
  <c r="C17" i="88" s="1"/>
  <c r="C20" i="88" s="1"/>
  <c r="C22" i="88" s="1"/>
  <c r="M12" i="82"/>
  <c r="M13" i="82" s="1"/>
  <c r="C17" i="82" s="1"/>
  <c r="C20" i="82" s="1"/>
  <c r="C22" i="82" s="1"/>
  <c r="K13" i="80"/>
  <c r="L11" i="80"/>
  <c r="L13" i="78"/>
  <c r="M11" i="78"/>
  <c r="L11" i="77"/>
  <c r="K13" i="77"/>
  <c r="K13" i="76"/>
  <c r="L11" i="76"/>
  <c r="L13" i="75"/>
  <c r="M11" i="75"/>
  <c r="K13" i="74"/>
  <c r="L11" i="74"/>
  <c r="L13" i="73"/>
  <c r="M11" i="73"/>
  <c r="K13" i="72"/>
  <c r="L11" i="72"/>
  <c r="K13" i="71"/>
  <c r="L11" i="71"/>
  <c r="L13" i="70"/>
  <c r="M11" i="70"/>
  <c r="M12" i="70" s="1"/>
  <c r="M13" i="70" s="1"/>
  <c r="L13" i="69"/>
  <c r="M11" i="69"/>
  <c r="L13" i="68"/>
  <c r="M11" i="68"/>
  <c r="L13" i="67"/>
  <c r="M11" i="67"/>
  <c r="M12" i="66"/>
  <c r="M13" i="66" s="1"/>
  <c r="C17" i="66" s="1"/>
  <c r="C20" i="66" s="1"/>
  <c r="C22" i="66" s="1"/>
  <c r="K13" i="65"/>
  <c r="L11" i="65"/>
  <c r="K13" i="64"/>
  <c r="L11" i="64"/>
  <c r="L13" i="63"/>
  <c r="M11" i="63"/>
  <c r="M11" i="62"/>
  <c r="L13" i="62"/>
  <c r="K13" i="61"/>
  <c r="L11" i="61"/>
  <c r="L13" i="60"/>
  <c r="M11" i="60"/>
  <c r="L11" i="59"/>
  <c r="K13" i="59"/>
  <c r="K13" i="58"/>
  <c r="L11" i="58"/>
  <c r="K13" i="57"/>
  <c r="L11" i="57"/>
  <c r="L11" i="56"/>
  <c r="K13" i="56"/>
  <c r="L13" i="55"/>
  <c r="M11" i="55"/>
  <c r="L11" i="54"/>
  <c r="K13" i="54"/>
  <c r="M11" i="53"/>
  <c r="L13" i="53"/>
  <c r="M11" i="52"/>
  <c r="L13" i="52"/>
  <c r="L13" i="51"/>
  <c r="M11" i="51"/>
  <c r="L11" i="50"/>
  <c r="K13" i="50"/>
  <c r="L11" i="48"/>
  <c r="K13" i="48"/>
  <c r="L11" i="47"/>
  <c r="K13" i="47"/>
  <c r="K13" i="2"/>
  <c r="L11" i="2"/>
  <c r="L13" i="43"/>
  <c r="M11" i="43"/>
  <c r="L11" i="42"/>
  <c r="K13" i="42"/>
  <c r="K13" i="39"/>
  <c r="L11" i="39"/>
  <c r="L11" i="38"/>
  <c r="K13" i="38"/>
  <c r="K13" i="37"/>
  <c r="L11" i="37"/>
  <c r="M12" i="36"/>
  <c r="M13" i="36" s="1"/>
  <c r="C17" i="36" s="1"/>
  <c r="C20" i="36" s="1"/>
  <c r="C22" i="36" s="1"/>
  <c r="L11" i="35"/>
  <c r="K13" i="35"/>
  <c r="L13" i="34"/>
  <c r="M11" i="34"/>
  <c r="L13" i="33"/>
  <c r="M11" i="33"/>
  <c r="M12" i="32"/>
  <c r="M13" i="32" s="1"/>
  <c r="C17" i="32" s="1"/>
  <c r="C20" i="32" s="1"/>
  <c r="C22" i="32" s="1"/>
  <c r="K13" i="29"/>
  <c r="L11" i="29"/>
  <c r="M11" i="28"/>
  <c r="L13" i="28"/>
  <c r="F16" i="22"/>
  <c r="C24" i="22"/>
  <c r="C25" i="22" s="1"/>
  <c r="M11" i="12"/>
  <c r="L13" i="12"/>
  <c r="K13" i="15"/>
  <c r="L11" i="15"/>
  <c r="M12" i="24"/>
  <c r="M13" i="24" s="1"/>
  <c r="C17" i="24" s="1"/>
  <c r="C20" i="24" s="1"/>
  <c r="C22" i="24" s="1"/>
  <c r="F16" i="20"/>
  <c r="C24" i="20"/>
  <c r="C25" i="20" s="1"/>
  <c r="M11" i="11"/>
  <c r="L13" i="11"/>
  <c r="K13" i="25"/>
  <c r="L11" i="25"/>
  <c r="M11" i="8"/>
  <c r="L13" i="8"/>
  <c r="M12" i="19"/>
  <c r="M13" i="19" s="1"/>
  <c r="C17" i="19" s="1"/>
  <c r="C20" i="19" s="1"/>
  <c r="C22" i="19" s="1"/>
  <c r="M12" i="23"/>
  <c r="M13" i="23"/>
  <c r="C17" i="23" s="1"/>
  <c r="C20" i="23" s="1"/>
  <c r="C22" i="23" s="1"/>
  <c r="L13" i="18"/>
  <c r="M11" i="18"/>
  <c r="L11" i="6"/>
  <c r="K13" i="6"/>
  <c r="L13" i="13"/>
  <c r="M11" i="13"/>
  <c r="L13" i="14"/>
  <c r="M11" i="14"/>
  <c r="M11" i="16"/>
  <c r="L13" i="16"/>
  <c r="L13" i="5"/>
  <c r="M11" i="5"/>
  <c r="M11" i="17"/>
  <c r="L13" i="17"/>
  <c r="K13" i="27"/>
  <c r="L11" i="27"/>
  <c r="M12" i="98" l="1"/>
  <c r="M13" i="98"/>
  <c r="C18" i="98" s="1"/>
  <c r="C21" i="98" s="1"/>
  <c r="C23" i="98" s="1"/>
  <c r="M15" i="98"/>
  <c r="M14" i="97"/>
  <c r="M15" i="97" s="1"/>
  <c r="L15" i="97"/>
  <c r="M15" i="96"/>
  <c r="M12" i="96"/>
  <c r="M13" i="96" s="1"/>
  <c r="C18" i="96" s="1"/>
  <c r="C21" i="96" s="1"/>
  <c r="C23" i="96" s="1"/>
  <c r="M12" i="95"/>
  <c r="M13" i="95" s="1"/>
  <c r="C18" i="95" s="1"/>
  <c r="C21" i="95" s="1"/>
  <c r="C23" i="95" s="1"/>
  <c r="M12" i="94"/>
  <c r="M13" i="94" s="1"/>
  <c r="C17" i="94" s="1"/>
  <c r="C20" i="94" s="1"/>
  <c r="C22" i="94" s="1"/>
  <c r="M12" i="92"/>
  <c r="M13" i="92" s="1"/>
  <c r="C17" i="92" s="1"/>
  <c r="C20" i="92" s="1"/>
  <c r="C22" i="92" s="1"/>
  <c r="C24" i="91"/>
  <c r="C25" i="91" s="1"/>
  <c r="F16" i="91"/>
  <c r="C24" i="89"/>
  <c r="C25" i="89" s="1"/>
  <c r="F16" i="89"/>
  <c r="M12" i="90"/>
  <c r="M13" i="90" s="1"/>
  <c r="C17" i="90" s="1"/>
  <c r="C20" i="90" s="1"/>
  <c r="C22" i="90" s="1"/>
  <c r="C24" i="88"/>
  <c r="C25" i="88" s="1"/>
  <c r="F16" i="88"/>
  <c r="C17" i="70"/>
  <c r="C20" i="70" s="1"/>
  <c r="C22" i="70" s="1"/>
  <c r="F16" i="70" s="1"/>
  <c r="C20" i="83"/>
  <c r="C22" i="83" s="1"/>
  <c r="C24" i="82"/>
  <c r="C25" i="82" s="1"/>
  <c r="F16" i="82"/>
  <c r="L13" i="80"/>
  <c r="M11" i="80"/>
  <c r="M12" i="78"/>
  <c r="M13" i="78" s="1"/>
  <c r="C17" i="78" s="1"/>
  <c r="C20" i="78" s="1"/>
  <c r="C22" i="78" s="1"/>
  <c r="L13" i="77"/>
  <c r="M11" i="77"/>
  <c r="L13" i="76"/>
  <c r="M11" i="76"/>
  <c r="M12" i="75"/>
  <c r="M13" i="75" s="1"/>
  <c r="C17" i="75" s="1"/>
  <c r="C20" i="75" s="1"/>
  <c r="C22" i="75" s="1"/>
  <c r="L13" i="74"/>
  <c r="M11" i="74"/>
  <c r="M12" i="73"/>
  <c r="M13" i="73" s="1"/>
  <c r="C17" i="73" s="1"/>
  <c r="C20" i="73" s="1"/>
  <c r="C22" i="73" s="1"/>
  <c r="L13" i="72"/>
  <c r="M11" i="72"/>
  <c r="M11" i="71"/>
  <c r="L13" i="71"/>
  <c r="M12" i="69"/>
  <c r="M13" i="69" s="1"/>
  <c r="C17" i="69" s="1"/>
  <c r="C20" i="69" s="1"/>
  <c r="C22" i="69" s="1"/>
  <c r="M12" i="68"/>
  <c r="M13" i="68" s="1"/>
  <c r="C17" i="68" s="1"/>
  <c r="C20" i="68" s="1"/>
  <c r="C22" i="68" s="1"/>
  <c r="M12" i="67"/>
  <c r="M13" i="67" s="1"/>
  <c r="C17" i="67" s="1"/>
  <c r="C20" i="67" s="1"/>
  <c r="C22" i="67" s="1"/>
  <c r="C24" i="66"/>
  <c r="C25" i="66" s="1"/>
  <c r="F16" i="66"/>
  <c r="L13" i="65"/>
  <c r="M11" i="65"/>
  <c r="L13" i="64"/>
  <c r="M11" i="64"/>
  <c r="M12" i="63"/>
  <c r="M13" i="63" s="1"/>
  <c r="C17" i="63" s="1"/>
  <c r="C20" i="63" s="1"/>
  <c r="C22" i="63" s="1"/>
  <c r="M12" i="62"/>
  <c r="M13" i="62" s="1"/>
  <c r="C17" i="62" s="1"/>
  <c r="C20" i="62" s="1"/>
  <c r="C22" i="62" s="1"/>
  <c r="M11" i="61"/>
  <c r="L13" i="61"/>
  <c r="M12" i="60"/>
  <c r="M13" i="60" s="1"/>
  <c r="C17" i="60" s="1"/>
  <c r="C20" i="60" s="1"/>
  <c r="C22" i="60" s="1"/>
  <c r="L13" i="59"/>
  <c r="M11" i="59"/>
  <c r="L13" i="58"/>
  <c r="M11" i="58"/>
  <c r="L13" i="57"/>
  <c r="M11" i="57"/>
  <c r="M11" i="56"/>
  <c r="L13" i="56"/>
  <c r="M12" i="55"/>
  <c r="M13" i="55" s="1"/>
  <c r="C17" i="55" s="1"/>
  <c r="C20" i="55" s="1"/>
  <c r="C22" i="55" s="1"/>
  <c r="L13" i="54"/>
  <c r="M11" i="54"/>
  <c r="M12" i="53"/>
  <c r="M13" i="53"/>
  <c r="C17" i="53" s="1"/>
  <c r="C20" i="53" s="1"/>
  <c r="C22" i="53" s="1"/>
  <c r="M12" i="52"/>
  <c r="M13" i="52" s="1"/>
  <c r="C17" i="52" s="1"/>
  <c r="C20" i="52" s="1"/>
  <c r="C22" i="52" s="1"/>
  <c r="M12" i="51"/>
  <c r="M13" i="51" s="1"/>
  <c r="C17" i="51" s="1"/>
  <c r="C20" i="51" s="1"/>
  <c r="C22" i="51" s="1"/>
  <c r="L13" i="50"/>
  <c r="M11" i="50"/>
  <c r="L13" i="48"/>
  <c r="M11" i="48"/>
  <c r="M11" i="47"/>
  <c r="L13" i="47"/>
  <c r="M11" i="2"/>
  <c r="L13" i="2"/>
  <c r="M12" i="43"/>
  <c r="M13" i="43" s="1"/>
  <c r="C17" i="43" s="1"/>
  <c r="C20" i="43" s="1"/>
  <c r="C22" i="43" s="1"/>
  <c r="L13" i="42"/>
  <c r="M11" i="42"/>
  <c r="L13" i="39"/>
  <c r="M11" i="39"/>
  <c r="L13" i="38"/>
  <c r="M11" i="38"/>
  <c r="M11" i="37"/>
  <c r="L13" i="37"/>
  <c r="C24" i="36"/>
  <c r="C25" i="36" s="1"/>
  <c r="F16" i="36"/>
  <c r="M11" i="35"/>
  <c r="L13" i="35"/>
  <c r="M12" i="34"/>
  <c r="M13" i="34" s="1"/>
  <c r="C17" i="34" s="1"/>
  <c r="C20" i="34" s="1"/>
  <c r="C22" i="34" s="1"/>
  <c r="M12" i="33"/>
  <c r="M13" i="33" s="1"/>
  <c r="C17" i="33" s="1"/>
  <c r="C20" i="33" s="1"/>
  <c r="C22" i="33" s="1"/>
  <c r="C24" i="32"/>
  <c r="C25" i="32" s="1"/>
  <c r="F16" i="32"/>
  <c r="L13" i="29"/>
  <c r="M11" i="29"/>
  <c r="M12" i="28"/>
  <c r="M13" i="28" s="1"/>
  <c r="C17" i="28" s="1"/>
  <c r="C20" i="28" s="1"/>
  <c r="C22" i="28" s="1"/>
  <c r="F16" i="28" s="1"/>
  <c r="F16" i="24"/>
  <c r="C24" i="24"/>
  <c r="C25" i="24" s="1"/>
  <c r="F16" i="19"/>
  <c r="C24" i="19"/>
  <c r="C25" i="19" s="1"/>
  <c r="L13" i="25"/>
  <c r="M11" i="25"/>
  <c r="M12" i="12"/>
  <c r="M13" i="12" s="1"/>
  <c r="C17" i="12" s="1"/>
  <c r="C20" i="12" s="1"/>
  <c r="C22" i="12" s="1"/>
  <c r="M12" i="14"/>
  <c r="M13" i="14" s="1"/>
  <c r="C17" i="14" s="1"/>
  <c r="C20" i="14" s="1"/>
  <c r="C22" i="14" s="1"/>
  <c r="M12" i="5"/>
  <c r="M13" i="5" s="1"/>
  <c r="C17" i="5" s="1"/>
  <c r="C20" i="5" s="1"/>
  <c r="C22" i="5" s="1"/>
  <c r="M12" i="13"/>
  <c r="M13" i="13"/>
  <c r="C17" i="13" s="1"/>
  <c r="C20" i="13" s="1"/>
  <c r="C22" i="13" s="1"/>
  <c r="L13" i="15"/>
  <c r="M11" i="15"/>
  <c r="F16" i="23"/>
  <c r="C24" i="23"/>
  <c r="C25" i="23" s="1"/>
  <c r="L13" i="6"/>
  <c r="M11" i="6"/>
  <c r="M12" i="16"/>
  <c r="M13" i="16" s="1"/>
  <c r="C17" i="16" s="1"/>
  <c r="C20" i="16" s="1"/>
  <c r="C22" i="16" s="1"/>
  <c r="M12" i="11"/>
  <c r="M13" i="11"/>
  <c r="C17" i="11" s="1"/>
  <c r="C20" i="11" s="1"/>
  <c r="C22" i="11" s="1"/>
  <c r="M12" i="8"/>
  <c r="M13" i="8" s="1"/>
  <c r="C17" i="8" s="1"/>
  <c r="C20" i="8" s="1"/>
  <c r="C22" i="8" s="1"/>
  <c r="M12" i="18"/>
  <c r="M13" i="18"/>
  <c r="C17" i="18" s="1"/>
  <c r="C20" i="18" s="1"/>
  <c r="C22" i="18" s="1"/>
  <c r="M12" i="17"/>
  <c r="M13" i="17" s="1"/>
  <c r="C17" i="17" s="1"/>
  <c r="C20" i="17" s="1"/>
  <c r="C22" i="17" s="1"/>
  <c r="L13" i="27"/>
  <c r="M11" i="27"/>
  <c r="C25" i="98" l="1"/>
  <c r="C26" i="98" s="1"/>
  <c r="F24" i="98"/>
  <c r="C25" i="96"/>
  <c r="C26" i="96" s="1"/>
  <c r="F24" i="96"/>
  <c r="C25" i="95"/>
  <c r="C26" i="95" s="1"/>
  <c r="F24" i="95"/>
  <c r="C24" i="94"/>
  <c r="C25" i="94" s="1"/>
  <c r="F16" i="94"/>
  <c r="C24" i="92"/>
  <c r="C25" i="92" s="1"/>
  <c r="F16" i="92"/>
  <c r="C24" i="90"/>
  <c r="C25" i="90" s="1"/>
  <c r="F16" i="90"/>
  <c r="C24" i="70"/>
  <c r="C25" i="70" s="1"/>
  <c r="C24" i="83"/>
  <c r="C25" i="83" s="1"/>
  <c r="F16" i="83"/>
  <c r="M12" i="80"/>
  <c r="M13" i="80" s="1"/>
  <c r="C17" i="80" s="1"/>
  <c r="C20" i="80" s="1"/>
  <c r="C22" i="80" s="1"/>
  <c r="C24" i="78"/>
  <c r="C25" i="78" s="1"/>
  <c r="F16" i="78"/>
  <c r="M12" i="77"/>
  <c r="M13" i="77" s="1"/>
  <c r="C17" i="77" s="1"/>
  <c r="C20" i="77" s="1"/>
  <c r="C22" i="77" s="1"/>
  <c r="M12" i="76"/>
  <c r="M13" i="76" s="1"/>
  <c r="C17" i="76" s="1"/>
  <c r="C20" i="76" s="1"/>
  <c r="C22" i="76" s="1"/>
  <c r="C24" i="75"/>
  <c r="C25" i="75" s="1"/>
  <c r="F16" i="75"/>
  <c r="M12" i="74"/>
  <c r="M13" i="74" s="1"/>
  <c r="C17" i="74" s="1"/>
  <c r="C20" i="74" s="1"/>
  <c r="C22" i="74" s="1"/>
  <c r="C24" i="73"/>
  <c r="C25" i="73" s="1"/>
  <c r="F16" i="73"/>
  <c r="M12" i="72"/>
  <c r="M13" i="72" s="1"/>
  <c r="C17" i="72" s="1"/>
  <c r="C20" i="72" s="1"/>
  <c r="C22" i="72" s="1"/>
  <c r="M12" i="71"/>
  <c r="M13" i="71" s="1"/>
  <c r="C17" i="71" s="1"/>
  <c r="C20" i="71" s="1"/>
  <c r="C22" i="71" s="1"/>
  <c r="C24" i="69"/>
  <c r="C25" i="69" s="1"/>
  <c r="F16" i="69"/>
  <c r="C24" i="68"/>
  <c r="C25" i="68" s="1"/>
  <c r="F16" i="68"/>
  <c r="C24" i="67"/>
  <c r="C25" i="67" s="1"/>
  <c r="F16" i="67"/>
  <c r="M12" i="65"/>
  <c r="M13" i="65" s="1"/>
  <c r="C17" i="65" s="1"/>
  <c r="C20" i="65" s="1"/>
  <c r="C22" i="65" s="1"/>
  <c r="M12" i="64"/>
  <c r="M13" i="64" s="1"/>
  <c r="C17" i="64" s="1"/>
  <c r="C20" i="64" s="1"/>
  <c r="C22" i="64" s="1"/>
  <c r="C24" i="63"/>
  <c r="C25" i="63" s="1"/>
  <c r="F16" i="63"/>
  <c r="C24" i="62"/>
  <c r="C25" i="62" s="1"/>
  <c r="F16" i="62"/>
  <c r="M13" i="61"/>
  <c r="C17" i="61" s="1"/>
  <c r="C20" i="61" s="1"/>
  <c r="C22" i="61" s="1"/>
  <c r="C24" i="60"/>
  <c r="C25" i="60" s="1"/>
  <c r="F16" i="60"/>
  <c r="M12" i="59"/>
  <c r="M13" i="59"/>
  <c r="C17" i="59" s="1"/>
  <c r="C20" i="59" s="1"/>
  <c r="C22" i="59" s="1"/>
  <c r="M12" i="58"/>
  <c r="M13" i="58" s="1"/>
  <c r="C17" i="58" s="1"/>
  <c r="C20" i="58" s="1"/>
  <c r="C22" i="58" s="1"/>
  <c r="M12" i="57"/>
  <c r="M13" i="57" s="1"/>
  <c r="C17" i="57" s="1"/>
  <c r="C20" i="57" s="1"/>
  <c r="C22" i="57" s="1"/>
  <c r="M12" i="56"/>
  <c r="M13" i="56" s="1"/>
  <c r="C17" i="56" s="1"/>
  <c r="C20" i="56" s="1"/>
  <c r="C22" i="56" s="1"/>
  <c r="C24" i="55"/>
  <c r="C25" i="55" s="1"/>
  <c r="F16" i="55"/>
  <c r="M12" i="54"/>
  <c r="M13" i="54" s="1"/>
  <c r="C17" i="54" s="1"/>
  <c r="C20" i="54" s="1"/>
  <c r="C22" i="54" s="1"/>
  <c r="C24" i="53"/>
  <c r="C25" i="53" s="1"/>
  <c r="F16" i="53"/>
  <c r="C24" i="52"/>
  <c r="C25" i="52" s="1"/>
  <c r="F16" i="52"/>
  <c r="C24" i="51"/>
  <c r="C25" i="51" s="1"/>
  <c r="F16" i="51"/>
  <c r="M12" i="50"/>
  <c r="M13" i="50" s="1"/>
  <c r="C17" i="50" s="1"/>
  <c r="C20" i="50" s="1"/>
  <c r="C22" i="50" s="1"/>
  <c r="M12" i="48"/>
  <c r="M13" i="48" s="1"/>
  <c r="C17" i="48" s="1"/>
  <c r="C20" i="48" s="1"/>
  <c r="C22" i="48" s="1"/>
  <c r="M12" i="47"/>
  <c r="M13" i="47" s="1"/>
  <c r="C17" i="47" s="1"/>
  <c r="C20" i="47" s="1"/>
  <c r="C22" i="47" s="1"/>
  <c r="M12" i="2"/>
  <c r="M13" i="2" s="1"/>
  <c r="C17" i="2" s="1"/>
  <c r="C20" i="2" s="1"/>
  <c r="C22" i="2" s="1"/>
  <c r="C24" i="43"/>
  <c r="C25" i="43" s="1"/>
  <c r="F16" i="43"/>
  <c r="M12" i="42"/>
  <c r="M13" i="42" s="1"/>
  <c r="C17" i="42" s="1"/>
  <c r="C20" i="42" s="1"/>
  <c r="C22" i="42" s="1"/>
  <c r="C20" i="39"/>
  <c r="C22" i="39" s="1"/>
  <c r="M12" i="38"/>
  <c r="M13" i="38" s="1"/>
  <c r="C17" i="38" s="1"/>
  <c r="C20" i="38" s="1"/>
  <c r="C22" i="38" s="1"/>
  <c r="M12" i="37"/>
  <c r="M13" i="37" s="1"/>
  <c r="C17" i="37" s="1"/>
  <c r="C20" i="37" s="1"/>
  <c r="C22" i="37" s="1"/>
  <c r="M12" i="35"/>
  <c r="M13" i="35" s="1"/>
  <c r="C17" i="35" s="1"/>
  <c r="C20" i="35" s="1"/>
  <c r="C22" i="35" s="1"/>
  <c r="C24" i="34"/>
  <c r="C25" i="34" s="1"/>
  <c r="F16" i="34"/>
  <c r="C24" i="33"/>
  <c r="C25" i="33" s="1"/>
  <c r="F16" i="33"/>
  <c r="M12" i="29"/>
  <c r="M13" i="29" s="1"/>
  <c r="C17" i="29" s="1"/>
  <c r="C20" i="29" s="1"/>
  <c r="C22" i="29" s="1"/>
  <c r="C24" i="28"/>
  <c r="C25" i="28" s="1"/>
  <c r="F16" i="17"/>
  <c r="C24" i="17"/>
  <c r="C25" i="17" s="1"/>
  <c r="C24" i="12"/>
  <c r="C25" i="12" s="1"/>
  <c r="F16" i="12"/>
  <c r="F16" i="14"/>
  <c r="C24" i="14"/>
  <c r="C25" i="14" s="1"/>
  <c r="C24" i="16"/>
  <c r="C25" i="16" s="1"/>
  <c r="F16" i="16"/>
  <c r="C24" i="8"/>
  <c r="C25" i="8" s="1"/>
  <c r="F16" i="8"/>
  <c r="C24" i="5"/>
  <c r="C25" i="5" s="1"/>
  <c r="F23" i="5"/>
  <c r="M12" i="6"/>
  <c r="M13" i="6" s="1"/>
  <c r="C17" i="6" s="1"/>
  <c r="C20" i="6" s="1"/>
  <c r="C22" i="6" s="1"/>
  <c r="M12" i="25"/>
  <c r="M13" i="25"/>
  <c r="C17" i="25" s="1"/>
  <c r="C20" i="25" s="1"/>
  <c r="C22" i="25" s="1"/>
  <c r="F16" i="11"/>
  <c r="C24" i="11"/>
  <c r="C25" i="11" s="1"/>
  <c r="F16" i="13"/>
  <c r="C24" i="13"/>
  <c r="C25" i="13" s="1"/>
  <c r="M12" i="15"/>
  <c r="M13" i="15"/>
  <c r="C17" i="15" s="1"/>
  <c r="C20" i="15" s="1"/>
  <c r="C22" i="15" s="1"/>
  <c r="F16" i="18"/>
  <c r="C24" i="18"/>
  <c r="C25" i="18" s="1"/>
  <c r="M12" i="27"/>
  <c r="M13" i="27" s="1"/>
  <c r="C17" i="27" s="1"/>
  <c r="C20" i="27" s="1"/>
  <c r="C22" i="27" s="1"/>
  <c r="C24" i="80" l="1"/>
  <c r="C25" i="80" s="1"/>
  <c r="F16" i="80"/>
  <c r="C24" i="77"/>
  <c r="C25" i="77" s="1"/>
  <c r="F16" i="77"/>
  <c r="C24" i="76"/>
  <c r="C25" i="76" s="1"/>
  <c r="F16" i="76"/>
  <c r="C24" i="74"/>
  <c r="C25" i="74" s="1"/>
  <c r="F16" i="74"/>
  <c r="C24" i="72"/>
  <c r="C25" i="72" s="1"/>
  <c r="F16" i="72"/>
  <c r="C24" i="71"/>
  <c r="C25" i="71" s="1"/>
  <c r="F16" i="71"/>
  <c r="C24" i="65"/>
  <c r="C25" i="65" s="1"/>
  <c r="F16" i="65"/>
  <c r="C24" i="64"/>
  <c r="C25" i="64" s="1"/>
  <c r="F16" i="64"/>
  <c r="C24" i="61"/>
  <c r="C25" i="61" s="1"/>
  <c r="F16" i="61"/>
  <c r="F16" i="59"/>
  <c r="C24" i="59"/>
  <c r="C25" i="59" s="1"/>
  <c r="C24" i="58"/>
  <c r="C25" i="58" s="1"/>
  <c r="F16" i="58"/>
  <c r="C24" i="57"/>
  <c r="C25" i="57" s="1"/>
  <c r="F16" i="57"/>
  <c r="C24" i="56"/>
  <c r="C25" i="56" s="1"/>
  <c r="F16" i="56"/>
  <c r="C24" i="54"/>
  <c r="C25" i="54" s="1"/>
  <c r="F16" i="54"/>
  <c r="C24" i="50"/>
  <c r="C25" i="50" s="1"/>
  <c r="F16" i="50"/>
  <c r="C24" i="48"/>
  <c r="C25" i="48" s="1"/>
  <c r="F16" i="48"/>
  <c r="C24" i="47"/>
  <c r="C25" i="47" s="1"/>
  <c r="F16" i="47"/>
  <c r="C24" i="2"/>
  <c r="C25" i="2" s="1"/>
  <c r="F16" i="2"/>
  <c r="C24" i="42"/>
  <c r="C25" i="42" s="1"/>
  <c r="F16" i="42"/>
  <c r="C24" i="39"/>
  <c r="C25" i="39" s="1"/>
  <c r="F16" i="39"/>
  <c r="C24" i="38"/>
  <c r="C25" i="38" s="1"/>
  <c r="F16" i="38"/>
  <c r="C24" i="37"/>
  <c r="C25" i="37" s="1"/>
  <c r="F16" i="37"/>
  <c r="C24" i="35"/>
  <c r="C25" i="35" s="1"/>
  <c r="F16" i="35"/>
  <c r="C24" i="29"/>
  <c r="C25" i="29" s="1"/>
  <c r="F16" i="29"/>
  <c r="C24" i="6"/>
  <c r="C25" i="6" s="1"/>
  <c r="F16" i="6"/>
  <c r="F16" i="15"/>
  <c r="C24" i="15"/>
  <c r="C25" i="15" s="1"/>
  <c r="C24" i="25"/>
  <c r="C25" i="25" s="1"/>
  <c r="F16" i="25"/>
  <c r="C24" i="27"/>
  <c r="C25" i="27" s="1"/>
  <c r="F16" i="27"/>
</calcChain>
</file>

<file path=xl/sharedStrings.xml><?xml version="1.0" encoding="utf-8"?>
<sst xmlns="http://schemas.openxmlformats.org/spreadsheetml/2006/main" count="3136" uniqueCount="254">
  <si>
    <r>
      <rPr>
        <b/>
        <sz val="10"/>
        <color theme="1"/>
        <rFont val="Verdana"/>
        <family val="2"/>
      </rPr>
      <t>Company</t>
    </r>
  </si>
  <si>
    <r>
      <rPr>
        <sz val="10"/>
        <color theme="1"/>
        <rFont val="Microsoft JhengHei"/>
        <family val="2"/>
        <charset val="136"/>
      </rPr>
      <t>未來成長率（一~五年）</t>
    </r>
  </si>
  <si>
    <r>
      <rPr>
        <b/>
        <sz val="9"/>
        <color theme="1"/>
        <rFont val="Verdana"/>
        <family val="2"/>
      </rPr>
      <t>EBITDA</t>
    </r>
  </si>
  <si>
    <r>
      <rPr>
        <sz val="10"/>
        <color theme="1"/>
        <rFont val="Microsoft JhengHei"/>
        <family val="2"/>
        <charset val="136"/>
      </rPr>
      <t>永久成長率</t>
    </r>
  </si>
  <si>
    <r>
      <rPr>
        <sz val="10"/>
        <color rgb="FF000000"/>
        <rFont val="Microsoft JhengHei"/>
        <family val="2"/>
        <charset val="136"/>
      </rPr>
      <t>折現率 (WACC)</t>
    </r>
  </si>
  <si>
    <r>
      <rPr>
        <sz val="10"/>
        <color theme="1"/>
        <rFont val="Microsoft JhengHei"/>
        <family val="2"/>
        <charset val="136"/>
      </rPr>
      <t>期望折現率（期望收益率）</t>
    </r>
  </si>
  <si>
    <r>
      <rPr>
        <b/>
        <sz val="11"/>
        <color theme="1"/>
        <rFont val="Verdana"/>
        <family val="2"/>
      </rPr>
      <t>Multiple of Earnings</t>
    </r>
  </si>
  <si>
    <r>
      <rPr>
        <sz val="10"/>
        <color theme="1"/>
        <rFont val="Microsoft JhengHei"/>
        <family val="2"/>
        <charset val="136"/>
      </rPr>
      <t>過去五年成長率</t>
    </r>
  </si>
  <si>
    <r>
      <rPr>
        <b/>
        <sz val="11"/>
        <color theme="1"/>
        <rFont val="Verdana"/>
        <family val="2"/>
      </rPr>
      <t>Low</t>
    </r>
  </si>
  <si>
    <r>
      <rPr>
        <b/>
        <sz val="11"/>
        <color theme="1"/>
        <rFont val="Verdana"/>
        <family val="2"/>
      </rPr>
      <t>Mid</t>
    </r>
  </si>
  <si>
    <r>
      <rPr>
        <b/>
        <sz val="11"/>
        <color theme="1"/>
        <rFont val="Verdana"/>
        <family val="2"/>
      </rPr>
      <t>High</t>
    </r>
  </si>
  <si>
    <r>
      <rPr>
        <sz val="10"/>
        <color theme="1"/>
        <rFont val="Calibri"/>
        <family val="2"/>
      </rPr>
      <t>二階成長率（六~十年）</t>
    </r>
  </si>
  <si>
    <r>
      <rPr>
        <b/>
        <sz val="10"/>
        <color theme="1"/>
        <rFont val="Verdana"/>
        <family val="2"/>
      </rPr>
      <t>Year</t>
    </r>
  </si>
  <si>
    <r>
      <rPr>
        <sz val="10"/>
        <color theme="1"/>
        <rFont val="Microsoft JhengHei"/>
        <family val="2"/>
        <charset val="136"/>
      </rPr>
      <t>自由現金流</t>
    </r>
  </si>
  <si>
    <r>
      <rPr>
        <sz val="10"/>
        <color rgb="FF000000"/>
        <rFont val="Microsoft JhengHei"/>
        <family val="2"/>
        <charset val="136"/>
      </rPr>
      <t>終值（Terminal Value）</t>
    </r>
  </si>
  <si>
    <r>
      <rPr>
        <b/>
        <sz val="12"/>
        <color theme="1"/>
        <rFont val="Microsoft JhengHei"/>
        <family val="2"/>
        <charset val="136"/>
      </rPr>
      <t>總和</t>
    </r>
  </si>
  <si>
    <r>
      <rPr>
        <b/>
        <sz val="10"/>
        <color theme="1"/>
        <rFont val="Verdana"/>
        <family val="2"/>
      </rPr>
      <t>估值</t>
    </r>
  </si>
  <si>
    <t>合理價</t>
  </si>
  <si>
    <r>
      <rPr>
        <b/>
        <sz val="10"/>
        <color rgb="FF000000"/>
        <rFont val="Microsoft JhengHei"/>
        <family val="2"/>
        <charset val="136"/>
      </rPr>
      <t>企業價值 (EV)</t>
    </r>
  </si>
  <si>
    <r>
      <rPr>
        <sz val="10"/>
        <color theme="1"/>
        <rFont val="Microsoft JhengHei"/>
        <family val="2"/>
        <charset val="136"/>
      </rPr>
      <t xml:space="preserve">(+) </t>
    </r>
    <r>
      <rPr>
        <sz val="10"/>
        <color rgb="FF000000"/>
        <rFont val="Microsoft JhengHei"/>
        <family val="2"/>
        <charset val="136"/>
      </rPr>
      <t>現金及其他投資</t>
    </r>
  </si>
  <si>
    <r>
      <rPr>
        <sz val="10"/>
        <color theme="1"/>
        <rFont val="Microsoft JhengHei"/>
        <family val="2"/>
        <charset val="136"/>
      </rPr>
      <t xml:space="preserve">(-) </t>
    </r>
    <r>
      <rPr>
        <sz val="10"/>
        <color rgb="FF000000"/>
        <rFont val="Microsoft JhengHei"/>
        <family val="2"/>
        <charset val="136"/>
      </rPr>
      <t>總負債</t>
    </r>
  </si>
  <si>
    <r>
      <rPr>
        <b/>
        <sz val="10"/>
        <color theme="1"/>
        <rFont val="Microsoft JhengHei"/>
        <family val="2"/>
        <charset val="136"/>
      </rPr>
      <t>股權價值</t>
    </r>
  </si>
  <si>
    <r>
      <rPr>
        <b/>
        <sz val="18"/>
        <color theme="1"/>
        <rFont val="Arial"/>
        <family val="2"/>
      </rPr>
      <t>市價</t>
    </r>
  </si>
  <si>
    <r>
      <rPr>
        <sz val="10"/>
        <color theme="1"/>
        <rFont val="Microsoft JhengHei"/>
        <family val="2"/>
        <charset val="136"/>
      </rPr>
      <t>流通股數</t>
    </r>
  </si>
  <si>
    <r>
      <rPr>
        <b/>
        <sz val="10"/>
        <color theme="1"/>
        <rFont val="Microsoft JhengHei"/>
        <family val="2"/>
        <charset val="136"/>
      </rPr>
      <t>股票合理價</t>
    </r>
  </si>
  <si>
    <r>
      <rPr>
        <sz val="10"/>
        <color theme="1"/>
        <rFont val="Microsoft JhengHei"/>
        <family val="2"/>
        <charset val="136"/>
      </rPr>
      <t>股票當前價格</t>
    </r>
  </si>
  <si>
    <r>
      <rPr>
        <sz val="12"/>
        <color theme="1"/>
        <rFont val="Microsoft JhengHei"/>
        <family val="2"/>
        <charset val="136"/>
      </rPr>
      <t>安全邊際</t>
    </r>
  </si>
  <si>
    <r>
      <rPr>
        <sz val="10"/>
        <color rgb="FF000000"/>
        <rFont val="Microsoft JhengHei"/>
        <family val="2"/>
        <charset val="136"/>
      </rPr>
      <t>買進 / 賣出</t>
    </r>
  </si>
  <si>
    <t>英伟达</t>
  </si>
  <si>
    <t>分年现金流增速</t>
  </si>
  <si>
    <t>分年营收流增速</t>
  </si>
  <si>
    <t>TTM Revenue</t>
  </si>
  <si>
    <r>
      <rPr>
        <sz val="10"/>
        <color theme="1"/>
        <rFont val="宋体"/>
        <family val="3"/>
        <charset val="134"/>
      </rPr>
      <t>營收成長（</t>
    </r>
    <r>
      <rPr>
        <sz val="10"/>
        <color theme="1"/>
        <rFont val="Arial"/>
        <family val="2"/>
      </rPr>
      <t>y1-5</t>
    </r>
    <r>
      <rPr>
        <sz val="10"/>
        <color theme="1"/>
        <rFont val="宋体"/>
        <family val="3"/>
        <charset val="134"/>
      </rPr>
      <t>）</t>
    </r>
  </si>
  <si>
    <r>
      <rPr>
        <sz val="10"/>
        <color theme="1"/>
        <rFont val="宋体"/>
        <family val="3"/>
        <charset val="134"/>
      </rPr>
      <t>營收成長（</t>
    </r>
    <r>
      <rPr>
        <sz val="10"/>
        <color theme="1"/>
        <rFont val="Arial"/>
        <family val="2"/>
      </rPr>
      <t>y6-10</t>
    </r>
    <r>
      <rPr>
        <sz val="10"/>
        <color theme="1"/>
        <rFont val="宋体"/>
        <family val="3"/>
        <charset val="134"/>
      </rPr>
      <t>）</t>
    </r>
  </si>
  <si>
    <t xml:space="preserve">  </t>
  </si>
  <si>
    <t>FCF Margin</t>
  </si>
  <si>
    <t>当折现率由小变大，未来成长率越大的公司，影响越大，举个例子说，1-5年成长率为5%，如果折现率由8%-&gt;10%,股价会减少24%，如果1-5年未来成长率为50%，折
现率由8%-&gt;10%,股价会减少29%</t>
  </si>
  <si>
    <t>PDD</t>
  </si>
  <si>
    <t>未来成长率（1-5年）</t>
  </si>
  <si>
    <t>永久成长率</t>
  </si>
  <si>
    <t>折现率 (WACC)</t>
  </si>
  <si>
    <t>期望折現率（期望收益率）</t>
  </si>
  <si>
    <t>过去5年成长率</t>
  </si>
  <si>
    <r>
      <rPr>
        <sz val="10"/>
        <color theme="1"/>
        <rFont val="宋体"/>
        <family val="3"/>
        <charset val="134"/>
      </rPr>
      <t>营收成长（</t>
    </r>
    <r>
      <rPr>
        <sz val="10"/>
        <color theme="1"/>
        <rFont val="Arial"/>
        <family val="2"/>
      </rPr>
      <t>y1-5</t>
    </r>
    <r>
      <rPr>
        <sz val="10"/>
        <color theme="1"/>
        <rFont val="宋体"/>
        <family val="3"/>
        <charset val="134"/>
      </rPr>
      <t>）</t>
    </r>
  </si>
  <si>
    <t>二阶成长率（6-10年）</t>
  </si>
  <si>
    <r>
      <rPr>
        <sz val="10"/>
        <color theme="1"/>
        <rFont val="宋体"/>
        <family val="3"/>
        <charset val="134"/>
      </rPr>
      <t>营收成长（</t>
    </r>
    <r>
      <rPr>
        <sz val="10"/>
        <color theme="1"/>
        <rFont val="Arial"/>
        <family val="2"/>
      </rPr>
      <t>y6-10</t>
    </r>
    <r>
      <rPr>
        <sz val="10"/>
        <color theme="1"/>
        <rFont val="宋体"/>
        <family val="3"/>
        <charset val="134"/>
      </rPr>
      <t>）</t>
    </r>
  </si>
  <si>
    <t>自由现金流（FCF）</t>
  </si>
  <si>
    <t>终值（Terminal Value）</t>
  </si>
  <si>
    <t>总和</t>
  </si>
  <si>
    <t>企业价值 (EV)</t>
  </si>
  <si>
    <t>(+) 现金及其他投资</t>
  </si>
  <si>
    <t>(-) 总负债</t>
  </si>
  <si>
    <t>股权价值</t>
  </si>
  <si>
    <t>流通股数</t>
  </si>
  <si>
    <t>股票合理价</t>
  </si>
  <si>
    <t>股票当前价格</t>
  </si>
  <si>
    <t>合理价</t>
  </si>
  <si>
    <t>安全边际</t>
  </si>
  <si>
    <t>买进/卖出</t>
  </si>
  <si>
    <t>baba</t>
  </si>
  <si>
    <t>meli</t>
  </si>
  <si>
    <t>營收成長（y1-5）</t>
  </si>
  <si>
    <t>營收成長（y6-10）</t>
  </si>
  <si>
    <t>看准网</t>
  </si>
  <si>
    <t>石头科技</t>
  </si>
  <si>
    <t>兆易创新</t>
  </si>
  <si>
    <t>澜起科技</t>
  </si>
  <si>
    <t>Spotify</t>
  </si>
  <si>
    <t>折现率由小变大，未来成长率越大的公司，影响越大，举个例子说，1-5年成长率为5%，如果折现率由8%-&gt;10%,股价会减少24%，如果1-5年未来成长率为50%，折
现率由8%-&gt;10%,股价会减少29%</t>
  </si>
  <si>
    <t>MongoDB</t>
  </si>
  <si>
    <t>CrowdStrike</t>
  </si>
  <si>
    <t xml:space="preserve">Palantir </t>
  </si>
  <si>
    <t>Square</t>
  </si>
  <si>
    <t>apple</t>
  </si>
  <si>
    <t xml:space="preserve">Qualcomm </t>
  </si>
  <si>
    <t xml:space="preserve">Broadcom </t>
  </si>
  <si>
    <t>chegg</t>
  </si>
  <si>
    <t>Snowflake</t>
  </si>
  <si>
    <t>Deere</t>
    <phoneticPr fontId="23" type="noConversion"/>
  </si>
  <si>
    <t>Lululemon</t>
    <phoneticPr fontId="23" type="noConversion"/>
  </si>
  <si>
    <t>合理價</t>
    <phoneticPr fontId="25" type="noConversion"/>
  </si>
  <si>
    <t>Nike</t>
    <phoneticPr fontId="23" type="noConversion"/>
  </si>
  <si>
    <t>s</t>
    <phoneticPr fontId="23" type="noConversion"/>
  </si>
  <si>
    <t>DataDog</t>
    <phoneticPr fontId="23" type="noConversion"/>
  </si>
  <si>
    <t>Zoom</t>
    <phoneticPr fontId="23" type="noConversion"/>
  </si>
  <si>
    <t>Enphase Energy</t>
    <phoneticPr fontId="23" type="noConversion"/>
  </si>
  <si>
    <t>App</t>
    <phoneticPr fontId="23" type="noConversion"/>
  </si>
  <si>
    <t>ANET</t>
    <phoneticPr fontId="23" type="noConversion"/>
  </si>
  <si>
    <t>高通</t>
    <phoneticPr fontId="23" type="noConversion"/>
  </si>
  <si>
    <t>AVGO</t>
    <phoneticPr fontId="23" type="noConversion"/>
  </si>
  <si>
    <t>折旧年数对合理价也有很大的影响，如果只算5年，只要现金流还在增长，就会比算10年更低估</t>
    <phoneticPr fontId="23" type="noConversion"/>
  </si>
  <si>
    <t>Constellation</t>
    <phoneticPr fontId="23" type="noConversion"/>
  </si>
  <si>
    <t>MSFT</t>
    <phoneticPr fontId="23" type="noConversion"/>
  </si>
  <si>
    <t>AMD</t>
    <phoneticPr fontId="23" type="noConversion"/>
  </si>
  <si>
    <t>Company</t>
  </si>
  <si>
    <t>未來成長率（一~五年）</t>
  </si>
  <si>
    <t>EBITDA</t>
  </si>
  <si>
    <t>永久成長率</t>
  </si>
  <si>
    <t>折現率 (WACC)</t>
  </si>
  <si>
    <t>Multiple of Earnings</t>
  </si>
  <si>
    <t>過去五年成長率</t>
  </si>
  <si>
    <t>Low</t>
  </si>
  <si>
    <t>Mid</t>
  </si>
  <si>
    <t>High</t>
  </si>
  <si>
    <r>
      <t>營收成長（</t>
    </r>
    <r>
      <rPr>
        <sz val="10"/>
        <color rgb="FF000000"/>
        <rFont val="Arial"/>
        <family val="2"/>
      </rPr>
      <t>y1-5</t>
    </r>
    <r>
      <rPr>
        <sz val="10"/>
        <color rgb="FF000000"/>
        <rFont val="宋体"/>
        <family val="3"/>
        <charset val="134"/>
        <scheme val="minor"/>
      </rPr>
      <t>）</t>
    </r>
  </si>
  <si>
    <t>二階成長率（六~十年）</t>
  </si>
  <si>
    <r>
      <t>營收成長（</t>
    </r>
    <r>
      <rPr>
        <sz val="10"/>
        <color rgb="FF000000"/>
        <rFont val="Arial"/>
        <family val="2"/>
      </rPr>
      <t>y6-10</t>
    </r>
    <r>
      <rPr>
        <sz val="10"/>
        <color rgb="FF000000"/>
        <rFont val="宋体"/>
        <family val="3"/>
        <charset val="134"/>
        <scheme val="minor"/>
      </rPr>
      <t>）</t>
    </r>
  </si>
  <si>
    <t>Year</t>
  </si>
  <si>
    <t>自由現金流</t>
  </si>
  <si>
    <t>終值（Terminal Value）</t>
  </si>
  <si>
    <t>總和</t>
  </si>
  <si>
    <t>估值</t>
  </si>
  <si>
    <t>企業價值 (EV)</t>
  </si>
  <si>
    <t>￥816,473.78</t>
  </si>
  <si>
    <t>(+) 現金及其他投資</t>
  </si>
  <si>
    <t>(-) 總負債</t>
  </si>
  <si>
    <t>股權價值</t>
  </si>
  <si>
    <t>市價</t>
  </si>
  <si>
    <t>流通股數</t>
  </si>
  <si>
    <t>股票合理價</t>
  </si>
  <si>
    <t>股票當前價格</t>
  </si>
  <si>
    <t>安全邊際</t>
  </si>
  <si>
    <t>買進 / 賣出</t>
  </si>
  <si>
    <t>SELL</t>
  </si>
  <si>
    <t>bilibili</t>
    <phoneticPr fontId="23" type="noConversion"/>
  </si>
  <si>
    <t>Nu bank</t>
    <phoneticPr fontId="23" type="noConversion"/>
  </si>
  <si>
    <t>duolingo</t>
    <phoneticPr fontId="23" type="noConversion"/>
  </si>
  <si>
    <t>ATAT 亚朵</t>
    <phoneticPr fontId="23" type="noConversion"/>
  </si>
  <si>
    <t>新东方</t>
    <phoneticPr fontId="23" type="noConversion"/>
  </si>
  <si>
    <t>小牛电动车 NIU</t>
    <phoneticPr fontId="23" type="noConversion"/>
  </si>
  <si>
    <t>蔚来 NIO</t>
    <phoneticPr fontId="23" type="noConversion"/>
  </si>
  <si>
    <t>理想</t>
    <phoneticPr fontId="23" type="noConversion"/>
  </si>
  <si>
    <t>Reddit</t>
    <phoneticPr fontId="23" type="noConversion"/>
  </si>
  <si>
    <t>meta</t>
    <phoneticPr fontId="23" type="noConversion"/>
  </si>
  <si>
    <t>sofi</t>
    <phoneticPr fontId="23" type="noConversion"/>
  </si>
  <si>
    <t>shopify</t>
    <phoneticPr fontId="45" type="noConversion"/>
  </si>
  <si>
    <t>nee</t>
    <phoneticPr fontId="45" type="noConversion"/>
  </si>
  <si>
    <t>uiPath</t>
    <phoneticPr fontId="45" type="noConversion"/>
  </si>
  <si>
    <t>Pegasystems</t>
    <phoneticPr fontId="45" type="noConversion"/>
  </si>
  <si>
    <t xml:space="preserve"> </t>
    <phoneticPr fontId="23" type="noConversion"/>
  </si>
  <si>
    <t>Innodazzta Inc. (INOD)</t>
    <phoneticPr fontId="45" type="noConversion"/>
  </si>
  <si>
    <t>amazon</t>
    <phoneticPr fontId="45" type="noConversion"/>
  </si>
  <si>
    <t>泡泡玛特</t>
    <phoneticPr fontId="45" type="noConversion"/>
  </si>
  <si>
    <t>AMD</t>
    <phoneticPr fontId="45" type="noConversion"/>
  </si>
  <si>
    <t>Crox</t>
    <phoneticPr fontId="45" type="noConversion"/>
  </si>
  <si>
    <t>Dell</t>
    <phoneticPr fontId="45" type="noConversion"/>
  </si>
  <si>
    <t>CELH</t>
    <phoneticPr fontId="45" type="noConversion"/>
  </si>
  <si>
    <t>OPFI</t>
    <phoneticPr fontId="45" type="noConversion"/>
  </si>
  <si>
    <t>LRN</t>
    <phoneticPr fontId="45" type="noConversion"/>
  </si>
  <si>
    <t>AGX</t>
    <phoneticPr fontId="45" type="noConversion"/>
  </si>
  <si>
    <t>DXPE</t>
    <phoneticPr fontId="45" type="noConversion"/>
  </si>
  <si>
    <t>EAT</t>
    <phoneticPr fontId="45" type="noConversion"/>
  </si>
  <si>
    <t>UBER</t>
    <phoneticPr fontId="45" type="noConversion"/>
  </si>
  <si>
    <t>Affirm Holdings</t>
    <phoneticPr fontId="45" type="noConversion"/>
  </si>
  <si>
    <t>PINS</t>
    <phoneticPr fontId="45" type="noConversion"/>
  </si>
  <si>
    <t>PSIX</t>
    <phoneticPr fontId="45" type="noConversion"/>
  </si>
  <si>
    <t>Vertiv</t>
    <phoneticPr fontId="45" type="noConversion"/>
  </si>
  <si>
    <t>tmdx</t>
    <phoneticPr fontId="45" type="noConversion"/>
  </si>
  <si>
    <t>Marvell</t>
    <phoneticPr fontId="45" type="noConversion"/>
  </si>
  <si>
    <t>ZETA</t>
    <phoneticPr fontId="45" type="noConversion"/>
  </si>
  <si>
    <t>First Solar</t>
    <phoneticPr fontId="45" type="noConversion"/>
  </si>
  <si>
    <t xml:space="preserve">4,343	</t>
    <phoneticPr fontId="23" type="noConversion"/>
  </si>
  <si>
    <t>Multiple of Earnings</t>
    <phoneticPr fontId="23" type="noConversion"/>
  </si>
  <si>
    <t>EBITDA-based DCF Valuation (Single Sheet)</t>
  </si>
  <si>
    <t>Example Value</t>
  </si>
  <si>
    <t>Notes</t>
  </si>
  <si>
    <t>Starting year for projections</t>
  </si>
  <si>
    <t>EBITDA in base year</t>
  </si>
  <si>
    <t>As decimal (0.15 = 15%)</t>
  </si>
  <si>
    <t>Number of years to forecast</t>
  </si>
  <si>
    <t>As decimal (0.10 = 10%)</t>
  </si>
  <si>
    <t>Convert EBITDA to 'pseudo FCF'</t>
  </si>
  <si>
    <t>Applied to final-year EBITDA</t>
  </si>
  <si>
    <t>Debt minus cash</t>
  </si>
  <si>
    <t>Shares Outstanding</t>
  </si>
  <si>
    <t>For per-share value</t>
  </si>
  <si>
    <t>Pseudo FCF</t>
  </si>
  <si>
    <t>Discount Factor</t>
  </si>
  <si>
    <t>PV of Pseudo FCF</t>
  </si>
  <si>
    <t>Valuation Item</t>
  </si>
  <si>
    <t>Formula/Value</t>
  </si>
  <si>
    <t>Sum of PV of Pseudo FCF (Projection Period)</t>
  </si>
  <si>
    <t>Terminal Value (EV in Final Year)</t>
    <phoneticPr fontId="23" type="noConversion"/>
  </si>
  <si>
    <t>PV of Terminal Value</t>
    <phoneticPr fontId="23" type="noConversion"/>
  </si>
  <si>
    <t>Enterprise Value (EV)</t>
    <phoneticPr fontId="23" type="noConversion"/>
  </si>
  <si>
    <t>Less: Net Debt</t>
  </si>
  <si>
    <t>Equity Value</t>
  </si>
  <si>
    <t>Equity Value per Share</t>
  </si>
  <si>
    <t>Alternative EV via Current EBITDA x Multiple</t>
  </si>
  <si>
    <t>Equity Value (Alt) = EV - Net Debt</t>
  </si>
  <si>
    <t>Equity Value per Share (Alt)</t>
  </si>
  <si>
    <t>Base Year (e.g., 2024)</t>
    <phoneticPr fontId="23" type="noConversion"/>
  </si>
  <si>
    <t>Current EBITDA (Base Year)</t>
    <phoneticPr fontId="23" type="noConversion"/>
  </si>
  <si>
    <t>Annual EBITDA Growth Rate</t>
    <phoneticPr fontId="23" type="noConversion"/>
  </si>
  <si>
    <t>Projection Years</t>
    <phoneticPr fontId="23" type="noConversion"/>
  </si>
  <si>
    <t>Discount Rate (WACC)</t>
    <phoneticPr fontId="23" type="noConversion"/>
  </si>
  <si>
    <t>FCF / EBITDA Proxy Ratio</t>
    <phoneticPr fontId="23" type="noConversion"/>
  </si>
  <si>
    <t>Terminal EV/EBITDA Multiple</t>
    <phoneticPr fontId="23" type="noConversion"/>
  </si>
  <si>
    <t>Net Debt</t>
    <phoneticPr fontId="23" type="noConversion"/>
  </si>
  <si>
    <t>Shares Outstanding</t>
    <phoneticPr fontId="23" type="noConversion"/>
  </si>
  <si>
    <t>股票合理價</t>
    <phoneticPr fontId="23" type="noConversion"/>
  </si>
  <si>
    <t>Formula/Value</t>
    <phoneticPr fontId="23" type="noConversion"/>
  </si>
  <si>
    <t>GLW</t>
    <phoneticPr fontId="45" type="noConversion"/>
  </si>
  <si>
    <t>Credo</t>
    <phoneticPr fontId="45" type="noConversion"/>
  </si>
  <si>
    <t>FIX</t>
    <phoneticPr fontId="45" type="noConversion"/>
  </si>
  <si>
    <t>EME</t>
    <phoneticPr fontId="45" type="noConversion"/>
  </si>
  <si>
    <t>Upstart</t>
    <phoneticPr fontId="45" type="noConversion"/>
  </si>
  <si>
    <t>PGY</t>
    <phoneticPr fontId="45" type="noConversion"/>
  </si>
  <si>
    <r>
      <rPr>
        <sz val="10"/>
        <color theme="1"/>
        <rFont val="SimSun"/>
        <family val="3"/>
        <charset val="134"/>
      </rPr>
      <t>逆推</t>
    </r>
    <r>
      <rPr>
        <sz val="10"/>
        <color theme="1"/>
        <rFont val="Arial"/>
        <family val="2"/>
      </rPr>
      <t xml:space="preserve"> revenue</t>
    </r>
    <phoneticPr fontId="23" type="noConversion"/>
  </si>
  <si>
    <t>未来成长率（一~五年）</t>
    <phoneticPr fontId="23" type="noConversion"/>
  </si>
  <si>
    <t>永久成长率</t>
    <phoneticPr fontId="23" type="noConversion"/>
  </si>
  <si>
    <t>折现率(WACC)</t>
    <phoneticPr fontId="23" type="noConversion"/>
  </si>
  <si>
    <t>期望折现率（期望收益率）</t>
    <phoneticPr fontId="23" type="noConversion"/>
  </si>
  <si>
    <t>过去五年成长率</t>
    <phoneticPr fontId="23" type="noConversion"/>
  </si>
  <si>
    <t>二阶成长率 5-10 年</t>
    <phoneticPr fontId="23" type="noConversion"/>
  </si>
  <si>
    <t>自由现金流</t>
    <phoneticPr fontId="23" type="noConversion"/>
  </si>
  <si>
    <t>终值（Terminal Value）</t>
    <phoneticPr fontId="23" type="noConversion"/>
  </si>
  <si>
    <t>总和</t>
    <phoneticPr fontId="23" type="noConversion"/>
  </si>
  <si>
    <t>企业价值 (EV)</t>
    <phoneticPr fontId="23" type="noConversion"/>
  </si>
  <si>
    <t>(+) 现金及其他投资</t>
    <phoneticPr fontId="23" type="noConversion"/>
  </si>
  <si>
    <t>(-) debt</t>
    <phoneticPr fontId="23" type="noConversion"/>
  </si>
  <si>
    <t>股权价值</t>
    <phoneticPr fontId="23" type="noConversion"/>
  </si>
  <si>
    <t>流通股数</t>
    <phoneticPr fontId="23" type="noConversion"/>
  </si>
  <si>
    <r>
      <t>营收成长（</t>
    </r>
    <r>
      <rPr>
        <sz val="10"/>
        <color theme="1"/>
        <rFont val="Arial"/>
        <family val="2"/>
      </rPr>
      <t>y6-10</t>
    </r>
    <r>
      <rPr>
        <sz val="10"/>
        <color theme="1"/>
        <rFont val="宋体"/>
        <family val="3"/>
        <charset val="134"/>
      </rPr>
      <t>）</t>
    </r>
    <phoneticPr fontId="23" type="noConversion"/>
  </si>
  <si>
    <t>合理价</t>
    <phoneticPr fontId="23" type="noConversion"/>
  </si>
  <si>
    <t>当前价</t>
    <phoneticPr fontId="23" type="noConversion"/>
  </si>
  <si>
    <t>安全边际</t>
    <phoneticPr fontId="23" type="noConversion"/>
  </si>
  <si>
    <t>买/卖</t>
    <phoneticPr fontId="23" type="noConversion"/>
  </si>
  <si>
    <t>合理价</t>
    <phoneticPr fontId="25" type="noConversion"/>
  </si>
  <si>
    <t>当折现率由小变大，未来成长率越大的公司，影响越大，举个例子说，1-5年成长率为5%，如果折现率由8%-&gt;10%,股价会减少24%，如果1-5年未来成长率为50%，折现率由8%-&gt;10%,股价会减少29%</t>
    <phoneticPr fontId="23" type="noConversion"/>
  </si>
  <si>
    <t>WDC</t>
    <phoneticPr fontId="45" type="noConversion"/>
  </si>
  <si>
    <t>项目</t>
  </si>
  <si>
    <t>Q1FY25</t>
  </si>
  <si>
    <t>Q2FY25</t>
  </si>
  <si>
    <t>Q3FY25</t>
  </si>
  <si>
    <t>Q4FY25</t>
  </si>
  <si>
    <t>Revenue by End Market</t>
  </si>
  <si>
    <t>Cloud</t>
  </si>
  <si>
    <t>Client</t>
  </si>
  <si>
    <t>Consumer</t>
  </si>
  <si>
    <t>Total Revenue</t>
  </si>
  <si>
    <t>Units by End Market (百万台)</t>
  </si>
  <si>
    <t>Total Units</t>
  </si>
  <si>
    <t>Exabytes Shipped</t>
  </si>
  <si>
    <t>Nearline</t>
  </si>
  <si>
    <t>Non-Nearline</t>
  </si>
  <si>
    <t>Total Exabytes</t>
  </si>
  <si>
    <t>此处不填</t>
    <phoneticPr fontId="23" type="noConversion"/>
  </si>
  <si>
    <t>分年现金流增速</t>
    <phoneticPr fontId="23" type="noConversion"/>
  </si>
  <si>
    <t>TTM Revenue</t>
    <phoneticPr fontId="23" type="noConversion"/>
  </si>
  <si>
    <r>
      <rPr>
        <sz val="10"/>
        <color theme="1"/>
        <rFont val="SimSun"/>
        <family val="3"/>
        <charset val="134"/>
      </rPr>
      <t>FCF 二阶成长率</t>
    </r>
    <r>
      <rPr>
        <sz val="10"/>
        <color theme="1"/>
        <rFont val="Calibri"/>
        <family val="2"/>
      </rPr>
      <t xml:space="preserve"> 5-10 </t>
    </r>
    <r>
      <rPr>
        <sz val="10"/>
        <color theme="1"/>
        <rFont val="SimSun"/>
        <family val="3"/>
        <charset val="134"/>
      </rPr>
      <t>年</t>
    </r>
    <phoneticPr fontId="23" type="noConversion"/>
  </si>
  <si>
    <t>分年营收增速</t>
    <phoneticPr fontId="23" type="noConversion"/>
  </si>
  <si>
    <t>预估 revenue</t>
    <phoneticPr fontId="23" type="noConversion"/>
  </si>
  <si>
    <t>FCF Margin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</si>
</sst>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24" formatCode="\$#,##0_);[Red]\(\$#,##0\)"/>
    <numFmt numFmtId="26" formatCode="\$#,##0.00_);[Red]\(\$#,##0.00\)"/>
    <numFmt numFmtId="176" formatCode="&quot;￥&quot;#,##0.00;[Red]&quot;￥&quot;\-#,##0.00"/>
    <numFmt numFmtId="177" formatCode="&quot;¥&quot;#,##0.00;[Red]&quot;¥&quot;\-#,##0.00"/>
    <numFmt numFmtId="178" formatCode="#,##0.00_ ;[Red]\-#,##0.00\ "/>
    <numFmt numFmtId="179" formatCode="0.00_);[Red]\(0.00\)"/>
  </numFmts>
  <fonts count="54">
    <font>
      <sz val="11"/>
      <color theme="1"/>
      <name val="宋体"/>
      <charset val="134"/>
      <scheme val="minor"/>
    </font>
    <font>
      <sz val="10"/>
      <color theme="1"/>
      <name val="Arial"/>
      <family val="2"/>
    </font>
    <font>
      <b/>
      <sz val="10"/>
      <color theme="1"/>
      <name val="Verdana"/>
      <family val="2"/>
    </font>
    <font>
      <sz val="10"/>
      <color theme="1"/>
      <name val="宋体"/>
      <family val="3"/>
      <charset val="134"/>
    </font>
    <font>
      <sz val="10"/>
      <color theme="1"/>
      <name val="Microsoft JhengHei"/>
      <family val="2"/>
      <charset val="136"/>
    </font>
    <font>
      <sz val="9.75"/>
      <color rgb="FF232A31"/>
      <name val="Helvetica"/>
      <family val="2"/>
    </font>
    <font>
      <b/>
      <sz val="9"/>
      <color theme="1"/>
      <name val="Verdana"/>
      <family val="2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0"/>
      <color rgb="FF000000"/>
      <name val="Microsoft JhengHei"/>
      <family val="2"/>
      <charset val="136"/>
    </font>
    <font>
      <b/>
      <sz val="11"/>
      <color theme="1"/>
      <name val="Verdana"/>
      <family val="2"/>
    </font>
    <font>
      <sz val="10"/>
      <color theme="1"/>
      <name val="Calibri"/>
      <family val="2"/>
    </font>
    <font>
      <sz val="10"/>
      <color theme="1"/>
      <name val="Verdana"/>
      <family val="2"/>
    </font>
    <font>
      <b/>
      <sz val="12"/>
      <color theme="1"/>
      <name val="Microsoft JhengHei"/>
      <family val="2"/>
      <charset val="136"/>
    </font>
    <font>
      <b/>
      <sz val="10"/>
      <color theme="1"/>
      <name val="Arial"/>
      <family val="2"/>
    </font>
    <font>
      <b/>
      <sz val="18"/>
      <color theme="1"/>
      <name val="宋体"/>
      <family val="3"/>
      <charset val="134"/>
    </font>
    <font>
      <b/>
      <sz val="18"/>
      <color theme="1"/>
      <name val="Arial"/>
      <family val="2"/>
    </font>
    <font>
      <b/>
      <sz val="10"/>
      <color rgb="FF000000"/>
      <name val="Microsoft JhengHei"/>
      <family val="2"/>
      <charset val="136"/>
    </font>
    <font>
      <b/>
      <sz val="10"/>
      <color theme="1"/>
      <name val="Microsoft JhengHei"/>
      <family val="2"/>
      <charset val="136"/>
    </font>
    <font>
      <sz val="12"/>
      <color theme="1"/>
      <name val="Microsoft JhengHei"/>
      <family val="2"/>
      <charset val="136"/>
    </font>
    <font>
      <sz val="11"/>
      <color rgb="FFFF0000"/>
      <name val="宋体"/>
      <family val="3"/>
      <charset val="134"/>
      <scheme val="minor"/>
    </font>
    <font>
      <b/>
      <sz val="20"/>
      <color rgb="FFFF0000"/>
      <name val="宋体"/>
      <family val="3"/>
      <charset val="134"/>
    </font>
    <font>
      <b/>
      <sz val="20"/>
      <color rgb="FFFF000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1"/>
      <charset val="134"/>
    </font>
    <font>
      <sz val="9"/>
      <name val="宋体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宋体"/>
      <family val="3"/>
      <charset val="134"/>
      <scheme val="minor"/>
    </font>
    <font>
      <b/>
      <sz val="9"/>
      <color rgb="FF000000"/>
      <name val="Verdana"/>
      <family val="2"/>
    </font>
    <font>
      <sz val="12"/>
      <color rgb="FF000000"/>
      <name val="Calibri"/>
      <family val="2"/>
    </font>
    <font>
      <sz val="12"/>
      <color rgb="FF000000"/>
      <name val="宋体"/>
      <family val="3"/>
      <charset val="134"/>
      <scheme val="minor"/>
    </font>
    <font>
      <b/>
      <sz val="10"/>
      <color rgb="FF000000"/>
      <name val="Arial"/>
      <family val="2"/>
    </font>
    <font>
      <b/>
      <sz val="11"/>
      <color rgb="FF000000"/>
      <name val="Verdana"/>
      <family val="2"/>
    </font>
    <font>
      <sz val="10"/>
      <color rgb="FF000000"/>
      <name val="Calibri"/>
      <family val="2"/>
    </font>
    <font>
      <sz val="10"/>
      <color rgb="FF000000"/>
      <name val="Verdana"/>
      <family val="2"/>
    </font>
    <font>
      <b/>
      <sz val="12"/>
      <color rgb="FF000000"/>
      <name val="Microsoft JhengHei"/>
      <family val="2"/>
      <charset val="136"/>
    </font>
    <font>
      <b/>
      <sz val="18"/>
      <color rgb="FF000000"/>
      <name val="宋体"/>
      <family val="3"/>
      <charset val="134"/>
      <scheme val="minor"/>
    </font>
    <font>
      <b/>
      <sz val="18"/>
      <color rgb="FF000000"/>
      <name val="Arial"/>
      <family val="2"/>
    </font>
    <font>
      <sz val="11"/>
      <color rgb="FF000000"/>
      <name val="宋体"/>
      <family val="3"/>
      <charset val="134"/>
      <scheme val="minor"/>
    </font>
    <font>
      <sz val="12"/>
      <color rgb="FF000000"/>
      <name val="Microsoft JhengHei"/>
      <family val="2"/>
      <charset val="136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111827"/>
      <name val="Arial"/>
      <family val="2"/>
    </font>
    <font>
      <sz val="10"/>
      <color theme="1"/>
      <name val="SimSun"/>
      <family val="3"/>
      <charset val="134"/>
    </font>
    <font>
      <sz val="10"/>
      <color theme="1"/>
      <name val="Arial"/>
      <family val="3"/>
      <charset val="134"/>
    </font>
    <font>
      <sz val="9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Calibri"/>
      <family val="3"/>
      <charset val="134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AD3"/>
        <bgColor indexed="64"/>
      </patternFill>
    </fill>
    <fill>
      <patternFill patternType="solid">
        <fgColor rgb="FFF4CC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EAD3"/>
        <bgColor rgb="FF000000"/>
      </patternFill>
    </fill>
    <fill>
      <patternFill patternType="solid">
        <fgColor rgb="FFF4CCCC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rgb="FFCFE2F3"/>
        <bgColor rgb="FF000000"/>
      </patternFill>
    </fill>
    <fill>
      <patternFill patternType="solid">
        <fgColor rgb="FFFFE599"/>
        <bgColor rgb="FF000000"/>
      </patternFill>
    </fill>
  </fills>
  <borders count="5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auto="1"/>
      </bottom>
      <diagonal/>
    </border>
    <border>
      <left style="thick">
        <color rgb="FFCCCCCC"/>
      </left>
      <right style="medium">
        <color rgb="FFCCCCCC"/>
      </right>
      <top style="thick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thick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thick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thick">
        <color rgb="FFCCCCCC"/>
      </right>
      <top style="medium">
        <color rgb="FFCCCCCC"/>
      </top>
      <bottom style="thick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34A853"/>
      </bottom>
      <diagonal/>
    </border>
    <border>
      <left style="medium">
        <color rgb="FFCCCCCC"/>
      </left>
      <right style="thick">
        <color rgb="FF34A853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34A853"/>
      </right>
      <top style="medium">
        <color rgb="FFCCCCCC"/>
      </top>
      <bottom style="thick">
        <color rgb="FF34A853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FF0000"/>
      </bottom>
      <diagonal/>
    </border>
    <border>
      <left style="medium">
        <color rgb="FFCCCCCC"/>
      </left>
      <right style="thick">
        <color rgb="FFFF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thick">
        <color rgb="FFFF0000"/>
      </right>
      <top style="medium">
        <color rgb="FFCCCCCC"/>
      </top>
      <bottom style="thick">
        <color rgb="FFFF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thick">
        <color rgb="FFCCCCCC"/>
      </top>
      <bottom style="medium">
        <color rgb="FFCCCCCC"/>
      </bottom>
      <diagonal/>
    </border>
    <border>
      <left/>
      <right style="thick">
        <color rgb="FFCCCCCC"/>
      </right>
      <top style="thick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thick">
        <color rgb="FFCCCCCC"/>
      </right>
      <top/>
      <bottom style="medium">
        <color rgb="FFCCCCCC"/>
      </bottom>
      <diagonal/>
    </border>
    <border>
      <left style="thick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thick">
        <color rgb="FFCCCCCC"/>
      </left>
      <right style="medium">
        <color rgb="FFCCCCCC"/>
      </right>
      <top/>
      <bottom style="thick">
        <color rgb="FFCCCCCC"/>
      </bottom>
      <diagonal/>
    </border>
    <border>
      <left/>
      <right style="medium">
        <color rgb="FFCCCCCC"/>
      </right>
      <top/>
      <bottom style="thick">
        <color rgb="FFCCCCCC"/>
      </bottom>
      <diagonal/>
    </border>
    <border>
      <left/>
      <right style="thick">
        <color rgb="FFCCCCCC"/>
      </right>
      <top/>
      <bottom style="thick">
        <color rgb="FFCCCCCC"/>
      </bottom>
      <diagonal/>
    </border>
    <border>
      <left/>
      <right style="medium">
        <color rgb="FFCCCCCC"/>
      </right>
      <top/>
      <bottom style="thick">
        <color rgb="FF34A853"/>
      </bottom>
      <diagonal/>
    </border>
    <border>
      <left/>
      <right style="thick">
        <color rgb="FF34A853"/>
      </right>
      <top/>
      <bottom style="medium">
        <color rgb="FFCCCCCC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/>
      <right style="medium">
        <color rgb="FFCCCCCC"/>
      </right>
      <top/>
      <bottom style="thick">
        <color rgb="FFFF0000"/>
      </bottom>
      <diagonal/>
    </border>
    <border>
      <left/>
      <right style="thick">
        <color rgb="FFFF0000"/>
      </right>
      <top/>
      <bottom style="medium">
        <color rgb="FFCCCCCC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CCCCCC"/>
      </left>
      <right style="thick">
        <color rgb="FFFF0000"/>
      </right>
      <top/>
      <bottom style="medium">
        <color rgb="FFCCCCCC"/>
      </bottom>
      <diagonal/>
    </border>
    <border>
      <left/>
      <right style="thick">
        <color rgb="FFFF0000"/>
      </right>
      <top style="medium">
        <color rgb="FFCCCCCC"/>
      </top>
      <bottom style="thick">
        <color rgb="FFFF0000"/>
      </bottom>
      <diagonal/>
    </border>
    <border>
      <left style="thick">
        <color rgb="FF34A853"/>
      </left>
      <right style="thick">
        <color rgb="FF34A853"/>
      </right>
      <top style="thick">
        <color rgb="FF34A853"/>
      </top>
      <bottom/>
      <diagonal/>
    </border>
    <border>
      <left style="thick">
        <color rgb="FF34A853"/>
      </left>
      <right style="thick">
        <color rgb="FF34A853"/>
      </right>
      <top/>
      <bottom style="thick">
        <color rgb="FF34A853"/>
      </bottom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51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1" fillId="2" borderId="1" xfId="0" applyFont="1" applyFill="1" applyBorder="1" applyAlignment="1">
      <alignment wrapText="1" readingOrder="1"/>
    </xf>
    <xf numFmtId="0" fontId="1" fillId="2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wrapText="1" readingOrder="1"/>
    </xf>
    <xf numFmtId="0" fontId="3" fillId="4" borderId="1" xfId="0" applyFont="1" applyFill="1" applyBorder="1" applyAlignment="1">
      <alignment horizontal="right" vertical="center" wrapText="1" readingOrder="1"/>
    </xf>
    <xf numFmtId="0" fontId="1" fillId="0" borderId="1" xfId="0" applyFont="1" applyBorder="1" applyAlignment="1">
      <alignment horizontal="right" wrapText="1" readingOrder="1"/>
    </xf>
    <xf numFmtId="0" fontId="4" fillId="3" borderId="1" xfId="0" applyFont="1" applyFill="1" applyBorder="1" applyAlignment="1">
      <alignment wrapText="1" readingOrder="1"/>
    </xf>
    <xf numFmtId="10" fontId="5" fillId="2" borderId="2" xfId="0" applyNumberFormat="1" applyFont="1" applyFill="1" applyBorder="1" applyAlignment="1">
      <alignment horizontal="right" vertical="center" wrapText="1"/>
    </xf>
    <xf numFmtId="0" fontId="6" fillId="5" borderId="3" xfId="0" applyFont="1" applyFill="1" applyBorder="1" applyAlignment="1">
      <alignment horizontal="right" vertical="center" wrapText="1" readingOrder="1"/>
    </xf>
    <xf numFmtId="0" fontId="7" fillId="0" borderId="4" xfId="0" applyFont="1" applyBorder="1" applyAlignment="1">
      <alignment horizontal="right" wrapText="1" readingOrder="1"/>
    </xf>
    <xf numFmtId="0" fontId="8" fillId="0" borderId="5" xfId="0" applyFont="1" applyBorder="1" applyAlignment="1">
      <alignment horizontal="right" wrapText="1" readingOrder="1"/>
    </xf>
    <xf numFmtId="9" fontId="1" fillId="0" borderId="1" xfId="0" applyNumberFormat="1" applyFont="1" applyBorder="1" applyAlignment="1">
      <alignment horizontal="right" wrapText="1" readingOrder="1"/>
    </xf>
    <xf numFmtId="10" fontId="1" fillId="4" borderId="1" xfId="0" applyNumberFormat="1" applyFont="1" applyFill="1" applyBorder="1" applyAlignment="1">
      <alignment horizontal="right" vertical="center" wrapText="1" readingOrder="1"/>
    </xf>
    <xf numFmtId="0" fontId="7" fillId="6" borderId="6" xfId="0" applyFont="1" applyFill="1" applyBorder="1" applyAlignment="1">
      <alignment horizontal="right" wrapText="1" readingOrder="1"/>
    </xf>
    <xf numFmtId="0" fontId="7" fillId="0" borderId="1" xfId="0" applyFont="1" applyBorder="1" applyAlignment="1">
      <alignment horizontal="right" wrapText="1" readingOrder="1"/>
    </xf>
    <xf numFmtId="0" fontId="8" fillId="0" borderId="7" xfId="0" applyFont="1" applyBorder="1" applyAlignment="1">
      <alignment horizontal="right" wrapText="1" readingOrder="1"/>
    </xf>
    <xf numFmtId="0" fontId="9" fillId="3" borderId="1" xfId="0" applyFont="1" applyFill="1" applyBorder="1" applyAlignment="1">
      <alignment wrapText="1" readingOrder="1"/>
    </xf>
    <xf numFmtId="0" fontId="7" fillId="0" borderId="6" xfId="0" applyFont="1" applyBorder="1" applyAlignment="1">
      <alignment horizontal="right" wrapText="1" readingOrder="1"/>
    </xf>
    <xf numFmtId="0" fontId="7" fillId="0" borderId="7" xfId="0" applyFont="1" applyBorder="1" applyAlignment="1">
      <alignment horizontal="right" wrapText="1" readingOrder="1"/>
    </xf>
    <xf numFmtId="10" fontId="5" fillId="0" borderId="0" xfId="0" applyNumberFormat="1" applyFont="1" applyAlignment="1">
      <alignment horizontal="right" vertical="center"/>
    </xf>
    <xf numFmtId="0" fontId="10" fillId="7" borderId="6" xfId="0" applyFont="1" applyFill="1" applyBorder="1" applyAlignment="1">
      <alignment horizontal="right" wrapText="1" readingOrder="1"/>
    </xf>
    <xf numFmtId="0" fontId="10" fillId="8" borderId="1" xfId="0" applyFont="1" applyFill="1" applyBorder="1" applyAlignment="1">
      <alignment horizontal="right" wrapText="1" readingOrder="1"/>
    </xf>
    <xf numFmtId="0" fontId="10" fillId="9" borderId="7" xfId="0" applyFont="1" applyFill="1" applyBorder="1" applyAlignment="1">
      <alignment horizontal="right" wrapText="1" readingOrder="1"/>
    </xf>
    <xf numFmtId="0" fontId="11" fillId="10" borderId="1" xfId="0" applyFont="1" applyFill="1" applyBorder="1" applyAlignment="1">
      <alignment wrapText="1" readingOrder="1"/>
    </xf>
    <xf numFmtId="9" fontId="1" fillId="10" borderId="1" xfId="0" applyNumberFormat="1" applyFont="1" applyFill="1" applyBorder="1" applyAlignment="1">
      <alignment horizontal="right" wrapText="1" readingOrder="1"/>
    </xf>
    <xf numFmtId="0" fontId="12" fillId="7" borderId="8" xfId="0" applyFont="1" applyFill="1" applyBorder="1" applyAlignment="1">
      <alignment horizontal="right" wrapText="1" readingOrder="1"/>
    </xf>
    <xf numFmtId="0" fontId="12" fillId="8" borderId="9" xfId="0" applyFont="1" applyFill="1" applyBorder="1" applyAlignment="1">
      <alignment horizontal="right" wrapText="1" readingOrder="1"/>
    </xf>
    <xf numFmtId="0" fontId="12" fillId="9" borderId="10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4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right" wrapText="1" readingOrder="1"/>
    </xf>
    <xf numFmtId="3" fontId="1" fillId="4" borderId="1" xfId="0" applyNumberFormat="1" applyFont="1" applyFill="1" applyBorder="1" applyAlignment="1">
      <alignment horizontal="right" wrapText="1" readingOrder="1"/>
    </xf>
    <xf numFmtId="24" fontId="12" fillId="3" borderId="1" xfId="0" applyNumberFormat="1" applyFont="1" applyFill="1" applyBorder="1" applyAlignment="1">
      <alignment horizontal="right" wrapText="1" readingOrder="1"/>
    </xf>
    <xf numFmtId="0" fontId="1" fillId="3" borderId="1" xfId="0" applyFont="1" applyFill="1" applyBorder="1" applyAlignment="1">
      <alignment horizontal="right" wrapText="1" readingOrder="1"/>
    </xf>
    <xf numFmtId="0" fontId="13" fillId="3" borderId="1" xfId="0" applyFont="1" applyFill="1" applyBorder="1" applyAlignment="1">
      <alignment wrapText="1" readingOrder="1"/>
    </xf>
    <xf numFmtId="0" fontId="14" fillId="11" borderId="1" xfId="0" applyFont="1" applyFill="1" applyBorder="1" applyAlignment="1">
      <alignment horizontal="center" wrapText="1" readingOrder="1"/>
    </xf>
    <xf numFmtId="10" fontId="14" fillId="11" borderId="1" xfId="0" applyNumberFormat="1" applyFont="1" applyFill="1" applyBorder="1" applyAlignment="1">
      <alignment horizontal="right" wrapText="1" readingOrder="1"/>
    </xf>
    <xf numFmtId="0" fontId="1" fillId="0" borderId="1" xfId="0" applyFont="1" applyBorder="1" applyAlignment="1">
      <alignment wrapText="1" readingOrder="1"/>
    </xf>
    <xf numFmtId="0" fontId="1" fillId="0" borderId="11" xfId="0" applyFont="1" applyBorder="1" applyAlignment="1">
      <alignment horizontal="right" wrapText="1" readingOrder="1"/>
    </xf>
    <xf numFmtId="0" fontId="1" fillId="0" borderId="12" xfId="0" applyFont="1" applyBorder="1" applyAlignment="1">
      <alignment horizontal="right" wrapText="1" readingOrder="1"/>
    </xf>
    <xf numFmtId="0" fontId="17" fillId="3" borderId="1" xfId="0" applyFont="1" applyFill="1" applyBorder="1" applyAlignment="1">
      <alignment wrapText="1" readingOrder="1"/>
    </xf>
    <xf numFmtId="176" fontId="2" fillId="3" borderId="1" xfId="0" applyNumberFormat="1" applyFont="1" applyFill="1" applyBorder="1" applyAlignment="1">
      <alignment horizontal="right" wrapText="1" readingOrder="1"/>
    </xf>
    <xf numFmtId="0" fontId="4" fillId="4" borderId="1" xfId="0" applyFont="1" applyFill="1" applyBorder="1" applyAlignment="1">
      <alignment wrapText="1" readingOrder="1"/>
    </xf>
    <xf numFmtId="3" fontId="5" fillId="0" borderId="0" xfId="0" applyNumberFormat="1" applyFont="1" applyAlignment="1">
      <alignment horizontal="right" vertical="center"/>
    </xf>
    <xf numFmtId="0" fontId="1" fillId="0" borderId="14" xfId="0" applyFont="1" applyBorder="1" applyAlignment="1">
      <alignment horizontal="right" wrapText="1" readingOrder="1"/>
    </xf>
    <xf numFmtId="0" fontId="18" fillId="3" borderId="1" xfId="0" applyFont="1" applyFill="1" applyBorder="1" applyAlignment="1">
      <alignment wrapText="1" readingOrder="1"/>
    </xf>
    <xf numFmtId="0" fontId="1" fillId="0" borderId="15" xfId="0" applyFont="1" applyBorder="1" applyAlignment="1">
      <alignment horizontal="right" wrapText="1" readingOrder="1"/>
    </xf>
    <xf numFmtId="0" fontId="4" fillId="4" borderId="14" xfId="0" applyFont="1" applyFill="1" applyBorder="1" applyAlignment="1">
      <alignment wrapText="1" readingOrder="1"/>
    </xf>
    <xf numFmtId="3" fontId="1" fillId="4" borderId="14" xfId="0" applyNumberFormat="1" applyFont="1" applyFill="1" applyBorder="1" applyAlignment="1">
      <alignment horizontal="right" wrapText="1" readingOrder="1"/>
    </xf>
    <xf numFmtId="0" fontId="1" fillId="2" borderId="15" xfId="0" applyFont="1" applyFill="1" applyBorder="1" applyAlignment="1">
      <alignment wrapText="1" readingOrder="1"/>
    </xf>
    <xf numFmtId="0" fontId="18" fillId="3" borderId="14" xfId="0" applyFont="1" applyFill="1" applyBorder="1" applyAlignment="1">
      <alignment wrapText="1" readingOrder="1"/>
    </xf>
    <xf numFmtId="0" fontId="2" fillId="3" borderId="16" xfId="0" applyFont="1" applyFill="1" applyBorder="1" applyAlignment="1">
      <alignment horizontal="right" wrapText="1" readingOrder="1"/>
    </xf>
    <xf numFmtId="4" fontId="1" fillId="4" borderId="1" xfId="0" applyNumberFormat="1" applyFont="1" applyFill="1" applyBorder="1" applyAlignment="1">
      <alignment horizontal="right" wrapText="1" readingOrder="1"/>
    </xf>
    <xf numFmtId="0" fontId="19" fillId="3" borderId="1" xfId="0" applyFont="1" applyFill="1" applyBorder="1" applyAlignment="1">
      <alignment wrapText="1" readingOrder="1"/>
    </xf>
    <xf numFmtId="0" fontId="12" fillId="3" borderId="14" xfId="0" applyFont="1" applyFill="1" applyBorder="1" applyAlignment="1">
      <alignment horizontal="right" wrapText="1" readingOrder="1"/>
    </xf>
    <xf numFmtId="0" fontId="9" fillId="3" borderId="15" xfId="0" applyFont="1" applyFill="1" applyBorder="1" applyAlignment="1">
      <alignment wrapText="1" readingOrder="1"/>
    </xf>
    <xf numFmtId="0" fontId="14" fillId="3" borderId="1" xfId="0" applyFont="1" applyFill="1" applyBorder="1" applyAlignment="1">
      <alignment horizontal="right" wrapText="1" readingOrder="1"/>
    </xf>
    <xf numFmtId="0" fontId="3" fillId="3" borderId="1" xfId="0" applyFont="1" applyFill="1" applyBorder="1" applyAlignment="1">
      <alignment horizontal="right" wrapText="1" readingOrder="1"/>
    </xf>
    <xf numFmtId="9" fontId="1" fillId="4" borderId="1" xfId="0" applyNumberFormat="1" applyFont="1" applyFill="1" applyBorder="1" applyAlignment="1">
      <alignment horizontal="right" wrapText="1" readingOrder="1"/>
    </xf>
    <xf numFmtId="0" fontId="12" fillId="3" borderId="1" xfId="0" applyFont="1" applyFill="1" applyBorder="1" applyAlignment="1">
      <alignment horizontal="right" wrapText="1" readingOrder="1"/>
    </xf>
    <xf numFmtId="10" fontId="14" fillId="10" borderId="1" xfId="0" applyNumberFormat="1" applyFont="1" applyFill="1" applyBorder="1" applyAlignment="1">
      <alignment horizontal="right" wrapText="1" readingOrder="1"/>
    </xf>
    <xf numFmtId="0" fontId="3" fillId="4" borderId="1" xfId="0" applyFont="1" applyFill="1" applyBorder="1" applyAlignment="1">
      <alignment vertical="center" wrapText="1" readingOrder="1"/>
    </xf>
    <xf numFmtId="0" fontId="6" fillId="5" borderId="3" xfId="0" applyFont="1" applyFill="1" applyBorder="1" applyAlignment="1">
      <alignment horizontal="center" vertical="center" wrapText="1" readingOrder="1"/>
    </xf>
    <xf numFmtId="0" fontId="7" fillId="0" borderId="4" xfId="0" applyFont="1" applyBorder="1" applyAlignment="1">
      <alignment wrapText="1" readingOrder="1"/>
    </xf>
    <xf numFmtId="0" fontId="7" fillId="0" borderId="5" xfId="0" applyFont="1" applyBorder="1" applyAlignment="1">
      <alignment wrapText="1" readingOrder="1"/>
    </xf>
    <xf numFmtId="9" fontId="1" fillId="0" borderId="1" xfId="0" applyNumberFormat="1" applyFont="1" applyBorder="1" applyAlignment="1">
      <alignment wrapText="1" readingOrder="1"/>
    </xf>
    <xf numFmtId="10" fontId="1" fillId="4" borderId="1" xfId="0" applyNumberFormat="1" applyFont="1" applyFill="1" applyBorder="1" applyAlignment="1">
      <alignment vertical="center" wrapText="1" readingOrder="1"/>
    </xf>
    <xf numFmtId="0" fontId="7" fillId="6" borderId="6" xfId="0" applyFont="1" applyFill="1" applyBorder="1" applyAlignment="1">
      <alignment wrapText="1" readingOrder="1"/>
    </xf>
    <xf numFmtId="0" fontId="7" fillId="0" borderId="1" xfId="0" applyFont="1" applyBorder="1" applyAlignment="1">
      <alignment wrapText="1" readingOrder="1"/>
    </xf>
    <xf numFmtId="0" fontId="7" fillId="0" borderId="7" xfId="0" applyFont="1" applyBorder="1" applyAlignment="1">
      <alignment wrapText="1" readingOrder="1"/>
    </xf>
    <xf numFmtId="0" fontId="7" fillId="0" borderId="6" xfId="0" applyFont="1" applyBorder="1" applyAlignment="1">
      <alignment wrapText="1" readingOrder="1"/>
    </xf>
    <xf numFmtId="10" fontId="5" fillId="0" borderId="0" xfId="0" applyNumberFormat="1" applyFont="1">
      <alignment vertical="center"/>
    </xf>
    <xf numFmtId="0" fontId="10" fillId="7" borderId="6" xfId="0" applyFont="1" applyFill="1" applyBorder="1" applyAlignment="1">
      <alignment horizontal="center" wrapText="1" readingOrder="1"/>
    </xf>
    <xf numFmtId="0" fontId="10" fillId="8" borderId="1" xfId="0" applyFont="1" applyFill="1" applyBorder="1" applyAlignment="1">
      <alignment horizontal="center" wrapText="1" readingOrder="1"/>
    </xf>
    <xf numFmtId="0" fontId="10" fillId="9" borderId="7" xfId="0" applyFont="1" applyFill="1" applyBorder="1" applyAlignment="1">
      <alignment horizontal="center" wrapText="1" readingOrder="1"/>
    </xf>
    <xf numFmtId="9" fontId="1" fillId="10" borderId="1" xfId="0" applyNumberFormat="1" applyFont="1" applyFill="1" applyBorder="1" applyAlignment="1">
      <alignment wrapText="1" readingOrder="1"/>
    </xf>
    <xf numFmtId="0" fontId="12" fillId="7" borderId="8" xfId="0" applyFont="1" applyFill="1" applyBorder="1" applyAlignment="1">
      <alignment horizontal="center" wrapText="1" readingOrder="1"/>
    </xf>
    <xf numFmtId="0" fontId="12" fillId="8" borderId="9" xfId="0" applyFont="1" applyFill="1" applyBorder="1" applyAlignment="1">
      <alignment horizontal="center" wrapText="1" readingOrder="1"/>
    </xf>
    <xf numFmtId="0" fontId="12" fillId="9" borderId="10" xfId="0" applyFont="1" applyFill="1" applyBorder="1" applyAlignment="1">
      <alignment horizontal="center" wrapText="1" readingOrder="1"/>
    </xf>
    <xf numFmtId="0" fontId="2" fillId="4" borderId="1" xfId="0" applyFont="1" applyFill="1" applyBorder="1" applyAlignment="1">
      <alignment horizontal="center" wrapText="1" readingOrder="1"/>
    </xf>
    <xf numFmtId="3" fontId="1" fillId="4" borderId="1" xfId="0" applyNumberFormat="1" applyFont="1" applyFill="1" applyBorder="1" applyAlignment="1">
      <alignment wrapText="1" readingOrder="1"/>
    </xf>
    <xf numFmtId="24" fontId="12" fillId="3" borderId="1" xfId="0" applyNumberFormat="1" applyFont="1" applyFill="1" applyBorder="1" applyAlignment="1">
      <alignment horizontal="center" wrapText="1" readingOrder="1"/>
    </xf>
    <xf numFmtId="0" fontId="1" fillId="3" borderId="1" xfId="0" applyFont="1" applyFill="1" applyBorder="1" applyAlignment="1">
      <alignment wrapText="1" readingOrder="1"/>
    </xf>
    <xf numFmtId="10" fontId="14" fillId="11" borderId="1" xfId="0" applyNumberFormat="1" applyFont="1" applyFill="1" applyBorder="1" applyAlignment="1">
      <alignment horizontal="center" wrapText="1" readingOrder="1"/>
    </xf>
    <xf numFmtId="0" fontId="1" fillId="0" borderId="11" xfId="0" applyFont="1" applyBorder="1" applyAlignment="1">
      <alignment wrapText="1" readingOrder="1"/>
    </xf>
    <xf numFmtId="0" fontId="1" fillId="0" borderId="12" xfId="0" applyFont="1" applyBorder="1" applyAlignment="1">
      <alignment wrapText="1" readingOrder="1"/>
    </xf>
    <xf numFmtId="176" fontId="2" fillId="3" borderId="1" xfId="0" applyNumberFormat="1" applyFont="1" applyFill="1" applyBorder="1" applyAlignment="1">
      <alignment horizontal="center" wrapText="1" readingOrder="1"/>
    </xf>
    <xf numFmtId="3" fontId="5" fillId="0" borderId="0" xfId="0" applyNumberFormat="1" applyFont="1">
      <alignment vertical="center"/>
    </xf>
    <xf numFmtId="0" fontId="1" fillId="0" borderId="14" xfId="0" applyFont="1" applyBorder="1" applyAlignment="1">
      <alignment wrapText="1" readingOrder="1"/>
    </xf>
    <xf numFmtId="0" fontId="1" fillId="0" borderId="15" xfId="0" applyFont="1" applyBorder="1" applyAlignment="1">
      <alignment wrapText="1" readingOrder="1"/>
    </xf>
    <xf numFmtId="3" fontId="1" fillId="4" borderId="14" xfId="0" applyNumberFormat="1" applyFont="1" applyFill="1" applyBorder="1" applyAlignment="1">
      <alignment wrapText="1" readingOrder="1"/>
    </xf>
    <xf numFmtId="0" fontId="2" fillId="3" borderId="16" xfId="0" applyFont="1" applyFill="1" applyBorder="1" applyAlignment="1">
      <alignment horizontal="center" wrapText="1" readingOrder="1"/>
    </xf>
    <xf numFmtId="0" fontId="1" fillId="4" borderId="1" xfId="0" applyFont="1" applyFill="1" applyBorder="1" applyAlignment="1">
      <alignment wrapText="1" readingOrder="1"/>
    </xf>
    <xf numFmtId="0" fontId="12" fillId="3" borderId="14" xfId="0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9" fontId="1" fillId="4" borderId="1" xfId="0" applyNumberFormat="1" applyFont="1" applyFill="1" applyBorder="1" applyAlignment="1">
      <alignment wrapText="1" readingOrder="1"/>
    </xf>
    <xf numFmtId="0" fontId="12" fillId="3" borderId="1" xfId="0" applyFont="1" applyFill="1" applyBorder="1" applyAlignment="1">
      <alignment horizontal="center" wrapText="1" readingOrder="1"/>
    </xf>
    <xf numFmtId="10" fontId="14" fillId="10" borderId="1" xfId="0" applyNumberFormat="1" applyFont="1" applyFill="1" applyBorder="1" applyAlignment="1">
      <alignment horizontal="center" wrapText="1" readingOrder="1"/>
    </xf>
    <xf numFmtId="0" fontId="1" fillId="4" borderId="14" xfId="0" applyFont="1" applyFill="1" applyBorder="1" applyAlignment="1">
      <alignment wrapText="1" readingOrder="1"/>
    </xf>
    <xf numFmtId="10" fontId="5" fillId="0" borderId="0" xfId="0" applyNumberFormat="1" applyFont="1" applyFill="1" applyBorder="1" applyAlignment="1" applyProtection="1">
      <alignment vertical="center"/>
    </xf>
    <xf numFmtId="0" fontId="3" fillId="0" borderId="1" xfId="0" applyFont="1" applyBorder="1" applyAlignment="1">
      <alignment wrapText="1" readingOrder="1"/>
    </xf>
    <xf numFmtId="0" fontId="4" fillId="3" borderId="1" xfId="0" applyFont="1" applyFill="1" applyBorder="1" applyAlignment="1">
      <alignment horizontal="right" wrapText="1" readingOrder="1"/>
    </xf>
    <xf numFmtId="0" fontId="1" fillId="0" borderId="17" xfId="0" applyFont="1" applyBorder="1" applyAlignment="1">
      <alignment horizontal="right" wrapText="1" readingOrder="1"/>
    </xf>
    <xf numFmtId="0" fontId="1" fillId="0" borderId="19" xfId="0" applyFont="1" applyBorder="1" applyAlignment="1">
      <alignment horizontal="right" wrapText="1" readingOrder="1"/>
    </xf>
    <xf numFmtId="0" fontId="1" fillId="0" borderId="21" xfId="0" applyFont="1" applyBorder="1" applyAlignment="1">
      <alignment horizontal="right" wrapText="1" readingOrder="1"/>
    </xf>
    <xf numFmtId="0" fontId="1" fillId="0" borderId="18" xfId="0" applyFont="1" applyBorder="1" applyAlignment="1">
      <alignment horizontal="right" wrapText="1" readingOrder="1"/>
    </xf>
    <xf numFmtId="0" fontId="24" fillId="4" borderId="1" xfId="0" applyFont="1" applyFill="1" applyBorder="1" applyAlignment="1">
      <alignment horizontal="right" vertical="center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26" fontId="12" fillId="3" borderId="1" xfId="0" applyNumberFormat="1" applyFont="1" applyFill="1" applyBorder="1" applyAlignment="1">
      <alignment horizontal="right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0" fillId="0" borderId="0" xfId="0" applyAlignment="1">
      <alignment horizontal="right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4" fontId="1" fillId="4" borderId="1" xfId="0" applyNumberFormat="1" applyFont="1" applyFill="1" applyBorder="1" applyAlignment="1">
      <alignment wrapText="1" readingOrder="1"/>
    </xf>
    <xf numFmtId="0" fontId="30" fillId="12" borderId="1" xfId="0" applyFont="1" applyFill="1" applyBorder="1" applyAlignment="1">
      <alignment wrapText="1" readingOrder="1"/>
    </xf>
    <xf numFmtId="0" fontId="30" fillId="12" borderId="21" xfId="0" applyFont="1" applyFill="1" applyBorder="1" applyAlignment="1">
      <alignment wrapText="1" readingOrder="1"/>
    </xf>
    <xf numFmtId="0" fontId="30" fillId="12" borderId="21" xfId="0" applyFont="1" applyFill="1" applyBorder="1" applyAlignment="1">
      <alignment horizontal="right" wrapText="1" readingOrder="1"/>
    </xf>
    <xf numFmtId="0" fontId="30" fillId="12" borderId="18" xfId="0" applyFont="1" applyFill="1" applyBorder="1" applyAlignment="1">
      <alignment wrapText="1" readingOrder="1"/>
    </xf>
    <xf numFmtId="0" fontId="31" fillId="13" borderId="22" xfId="0" applyFont="1" applyFill="1" applyBorder="1" applyAlignment="1">
      <alignment wrapText="1" readingOrder="1"/>
    </xf>
    <xf numFmtId="0" fontId="32" fillId="14" borderId="22" xfId="0" applyFont="1" applyFill="1" applyBorder="1" applyAlignment="1">
      <alignment horizontal="right" vertical="center" wrapText="1" readingOrder="1"/>
    </xf>
    <xf numFmtId="0" fontId="30" fillId="0" borderId="22" xfId="0" applyFont="1" applyBorder="1" applyAlignment="1">
      <alignment horizontal="right" wrapText="1" readingOrder="1"/>
    </xf>
    <xf numFmtId="0" fontId="9" fillId="13" borderId="22" xfId="0" applyFont="1" applyFill="1" applyBorder="1" applyAlignment="1">
      <alignment wrapText="1" readingOrder="1"/>
    </xf>
    <xf numFmtId="10" fontId="5" fillId="12" borderId="2" xfId="0" applyNumberFormat="1" applyFont="1" applyFill="1" applyBorder="1" applyAlignment="1">
      <alignment horizontal="right" vertical="center" wrapText="1"/>
    </xf>
    <xf numFmtId="0" fontId="30" fillId="0" borderId="18" xfId="0" applyFont="1" applyBorder="1" applyAlignment="1">
      <alignment horizontal="right" wrapText="1" readingOrder="1"/>
    </xf>
    <xf numFmtId="0" fontId="33" fillId="15" borderId="3" xfId="0" applyFont="1" applyFill="1" applyBorder="1" applyAlignment="1">
      <alignment horizontal="right" vertical="center" wrapText="1" readingOrder="1"/>
    </xf>
    <xf numFmtId="0" fontId="34" fillId="0" borderId="23" xfId="0" applyFont="1" applyBorder="1" applyAlignment="1">
      <alignment horizontal="right" wrapText="1" readingOrder="1"/>
    </xf>
    <xf numFmtId="0" fontId="35" fillId="0" borderId="24" xfId="0" applyFont="1" applyBorder="1" applyAlignment="1">
      <alignment horizontal="right" wrapText="1" readingOrder="1"/>
    </xf>
    <xf numFmtId="9" fontId="30" fillId="0" borderId="18" xfId="0" applyNumberFormat="1" applyFont="1" applyBorder="1" applyAlignment="1">
      <alignment horizontal="right" wrapText="1" readingOrder="1"/>
    </xf>
    <xf numFmtId="9" fontId="30" fillId="0" borderId="22" xfId="0" applyNumberFormat="1" applyFont="1" applyBorder="1" applyAlignment="1">
      <alignment horizontal="right" wrapText="1" readingOrder="1"/>
    </xf>
    <xf numFmtId="10" fontId="30" fillId="14" borderId="21" xfId="0" applyNumberFormat="1" applyFont="1" applyFill="1" applyBorder="1" applyAlignment="1">
      <alignment horizontal="right" vertical="center" wrapText="1" readingOrder="1"/>
    </xf>
    <xf numFmtId="0" fontId="34" fillId="16" borderId="25" xfId="0" applyFont="1" applyFill="1" applyBorder="1" applyAlignment="1">
      <alignment horizontal="right" wrapText="1" readingOrder="1"/>
    </xf>
    <xf numFmtId="0" fontId="34" fillId="0" borderId="22" xfId="0" applyFont="1" applyBorder="1" applyAlignment="1">
      <alignment horizontal="right" wrapText="1" readingOrder="1"/>
    </xf>
    <xf numFmtId="0" fontId="35" fillId="0" borderId="26" xfId="0" applyFont="1" applyBorder="1" applyAlignment="1">
      <alignment horizontal="right" wrapText="1" readingOrder="1"/>
    </xf>
    <xf numFmtId="10" fontId="30" fillId="14" borderId="22" xfId="0" applyNumberFormat="1" applyFont="1" applyFill="1" applyBorder="1" applyAlignment="1">
      <alignment horizontal="right" vertical="center" wrapText="1" readingOrder="1"/>
    </xf>
    <xf numFmtId="0" fontId="34" fillId="0" borderId="25" xfId="0" applyFont="1" applyBorder="1" applyAlignment="1">
      <alignment horizontal="right" wrapText="1" readingOrder="1"/>
    </xf>
    <xf numFmtId="0" fontId="34" fillId="0" borderId="26" xfId="0" applyFont="1" applyBorder="1" applyAlignment="1">
      <alignment horizontal="right" wrapText="1" readingOrder="1"/>
    </xf>
    <xf numFmtId="0" fontId="36" fillId="13" borderId="22" xfId="0" applyFont="1" applyFill="1" applyBorder="1" applyAlignment="1">
      <alignment horizontal="right" wrapText="1" readingOrder="1"/>
    </xf>
    <xf numFmtId="3" fontId="30" fillId="14" borderId="22" xfId="0" applyNumberFormat="1" applyFont="1" applyFill="1" applyBorder="1" applyAlignment="1">
      <alignment horizontal="right" wrapText="1" readingOrder="1"/>
    </xf>
    <xf numFmtId="0" fontId="37" fillId="17" borderId="25" xfId="0" applyFont="1" applyFill="1" applyBorder="1" applyAlignment="1">
      <alignment horizontal="right" wrapText="1" readingOrder="1"/>
    </xf>
    <xf numFmtId="0" fontId="37" fillId="18" borderId="22" xfId="0" applyFont="1" applyFill="1" applyBorder="1" applyAlignment="1">
      <alignment horizontal="right" wrapText="1" readingOrder="1"/>
    </xf>
    <xf numFmtId="0" fontId="37" fillId="19" borderId="26" xfId="0" applyFont="1" applyFill="1" applyBorder="1" applyAlignment="1">
      <alignment horizontal="right" wrapText="1" readingOrder="1"/>
    </xf>
    <xf numFmtId="0" fontId="32" fillId="13" borderId="22" xfId="0" applyFont="1" applyFill="1" applyBorder="1" applyAlignment="1">
      <alignment horizontal="right" wrapText="1" readingOrder="1"/>
    </xf>
    <xf numFmtId="9" fontId="30" fillId="14" borderId="22" xfId="0" applyNumberFormat="1" applyFont="1" applyFill="1" applyBorder="1" applyAlignment="1">
      <alignment horizontal="right" wrapText="1" readingOrder="1"/>
    </xf>
    <xf numFmtId="0" fontId="38" fillId="20" borderId="22" xfId="0" applyFont="1" applyFill="1" applyBorder="1" applyAlignment="1">
      <alignment wrapText="1" readingOrder="1"/>
    </xf>
    <xf numFmtId="9" fontId="30" fillId="20" borderId="21" xfId="0" applyNumberFormat="1" applyFont="1" applyFill="1" applyBorder="1" applyAlignment="1">
      <alignment horizontal="right" wrapText="1" readingOrder="1"/>
    </xf>
    <xf numFmtId="0" fontId="39" fillId="17" borderId="29" xfId="0" applyFont="1" applyFill="1" applyBorder="1" applyAlignment="1">
      <alignment horizontal="right" wrapText="1" readingOrder="1"/>
    </xf>
    <xf numFmtId="0" fontId="39" fillId="18" borderId="30" xfId="0" applyFont="1" applyFill="1" applyBorder="1" applyAlignment="1">
      <alignment horizontal="right" wrapText="1" readingOrder="1"/>
    </xf>
    <xf numFmtId="0" fontId="39" fillId="19" borderId="31" xfId="0" applyFont="1" applyFill="1" applyBorder="1" applyAlignment="1">
      <alignment horizontal="right" wrapText="1" readingOrder="1"/>
    </xf>
    <xf numFmtId="0" fontId="30" fillId="12" borderId="22" xfId="0" applyFont="1" applyFill="1" applyBorder="1" applyAlignment="1">
      <alignment wrapText="1" readingOrder="1"/>
    </xf>
    <xf numFmtId="0" fontId="30" fillId="12" borderId="22" xfId="0" applyFont="1" applyFill="1" applyBorder="1" applyAlignment="1">
      <alignment horizontal="right" wrapText="1" readingOrder="1"/>
    </xf>
    <xf numFmtId="0" fontId="31" fillId="13" borderId="22" xfId="0" applyFont="1" applyFill="1" applyBorder="1" applyAlignment="1">
      <alignment horizontal="center" wrapText="1" readingOrder="1"/>
    </xf>
    <xf numFmtId="0" fontId="31" fillId="14" borderId="22" xfId="0" applyFont="1" applyFill="1" applyBorder="1" applyAlignment="1">
      <alignment horizontal="right" wrapText="1" readingOrder="1"/>
    </xf>
    <xf numFmtId="0" fontId="31" fillId="13" borderId="22" xfId="0" applyFont="1" applyFill="1" applyBorder="1" applyAlignment="1">
      <alignment horizontal="right" wrapText="1" readingOrder="1"/>
    </xf>
    <xf numFmtId="24" fontId="39" fillId="13" borderId="22" xfId="0" applyNumberFormat="1" applyFont="1" applyFill="1" applyBorder="1" applyAlignment="1">
      <alignment horizontal="right" wrapText="1" readingOrder="1"/>
    </xf>
    <xf numFmtId="0" fontId="30" fillId="13" borderId="22" xfId="0" applyFont="1" applyFill="1" applyBorder="1" applyAlignment="1">
      <alignment horizontal="right" wrapText="1" readingOrder="1"/>
    </xf>
    <xf numFmtId="0" fontId="39" fillId="13" borderId="22" xfId="0" applyFont="1" applyFill="1" applyBorder="1" applyAlignment="1">
      <alignment horizontal="right" wrapText="1" readingOrder="1"/>
    </xf>
    <xf numFmtId="0" fontId="40" fillId="13" borderId="22" xfId="0" applyFont="1" applyFill="1" applyBorder="1" applyAlignment="1">
      <alignment wrapText="1" readingOrder="1"/>
    </xf>
    <xf numFmtId="0" fontId="36" fillId="21" borderId="22" xfId="0" applyFont="1" applyFill="1" applyBorder="1" applyAlignment="1">
      <alignment horizontal="center" wrapText="1" readingOrder="1"/>
    </xf>
    <xf numFmtId="10" fontId="36" fillId="21" borderId="22" xfId="0" applyNumberFormat="1" applyFont="1" applyFill="1" applyBorder="1" applyAlignment="1">
      <alignment horizontal="right" wrapText="1" readingOrder="1"/>
    </xf>
    <xf numFmtId="10" fontId="36" fillId="20" borderId="22" xfId="0" applyNumberFormat="1" applyFont="1" applyFill="1" applyBorder="1" applyAlignment="1">
      <alignment horizontal="right" wrapText="1" readingOrder="1"/>
    </xf>
    <xf numFmtId="0" fontId="30" fillId="0" borderId="22" xfId="0" applyFont="1" applyBorder="1" applyAlignment="1">
      <alignment wrapText="1" readingOrder="1"/>
    </xf>
    <xf numFmtId="0" fontId="30" fillId="0" borderId="32" xfId="0" applyFont="1" applyBorder="1" applyAlignment="1">
      <alignment horizontal="right" wrapText="1" readingOrder="1"/>
    </xf>
    <xf numFmtId="0" fontId="30" fillId="0" borderId="33" xfId="0" applyFont="1" applyBorder="1" applyAlignment="1">
      <alignment horizontal="right" wrapText="1" readingOrder="1"/>
    </xf>
    <xf numFmtId="0" fontId="17" fillId="13" borderId="22" xfId="0" applyFont="1" applyFill="1" applyBorder="1" applyAlignment="1">
      <alignment wrapText="1" readingOrder="1"/>
    </xf>
    <xf numFmtId="177" fontId="31" fillId="13" borderId="22" xfId="0" applyNumberFormat="1" applyFont="1" applyFill="1" applyBorder="1" applyAlignment="1">
      <alignment horizontal="right" wrapText="1" readingOrder="1"/>
    </xf>
    <xf numFmtId="0" fontId="9" fillId="14" borderId="22" xfId="0" applyFont="1" applyFill="1" applyBorder="1" applyAlignment="1">
      <alignment wrapText="1" readingOrder="1"/>
    </xf>
    <xf numFmtId="0" fontId="30" fillId="0" borderId="21" xfId="0" applyFont="1" applyBorder="1" applyAlignment="1">
      <alignment horizontal="right" wrapText="1" readingOrder="1"/>
    </xf>
    <xf numFmtId="3" fontId="30" fillId="14" borderId="21" xfId="0" applyNumberFormat="1" applyFont="1" applyFill="1" applyBorder="1" applyAlignment="1">
      <alignment horizontal="right" wrapText="1" readingOrder="1"/>
    </xf>
    <xf numFmtId="0" fontId="30" fillId="0" borderId="35" xfId="0" applyFont="1" applyBorder="1" applyAlignment="1">
      <alignment horizontal="right" wrapText="1" readingOrder="1"/>
    </xf>
    <xf numFmtId="0" fontId="30" fillId="0" borderId="36" xfId="0" applyFont="1" applyBorder="1" applyAlignment="1">
      <alignment horizontal="right" wrapText="1" readingOrder="1"/>
    </xf>
    <xf numFmtId="0" fontId="43" fillId="0" borderId="0" xfId="0" applyFont="1" applyAlignment="1">
      <alignment horizontal="right" vertical="center"/>
    </xf>
    <xf numFmtId="0" fontId="9" fillId="14" borderId="35" xfId="0" applyFont="1" applyFill="1" applyBorder="1" applyAlignment="1">
      <alignment wrapText="1" readingOrder="1"/>
    </xf>
    <xf numFmtId="3" fontId="30" fillId="14" borderId="35" xfId="0" applyNumberFormat="1" applyFont="1" applyFill="1" applyBorder="1" applyAlignment="1">
      <alignment horizontal="right" wrapText="1" readingOrder="1"/>
    </xf>
    <xf numFmtId="0" fontId="30" fillId="12" borderId="38" xfId="0" applyFont="1" applyFill="1" applyBorder="1" applyAlignment="1">
      <alignment wrapText="1" readingOrder="1"/>
    </xf>
    <xf numFmtId="0" fontId="17" fillId="13" borderId="14" xfId="0" applyFont="1" applyFill="1" applyBorder="1" applyAlignment="1">
      <alignment wrapText="1" readingOrder="1"/>
    </xf>
    <xf numFmtId="0" fontId="31" fillId="13" borderId="39" xfId="0" applyFont="1" applyFill="1" applyBorder="1" applyAlignment="1">
      <alignment horizontal="right" wrapText="1" readingOrder="1"/>
    </xf>
    <xf numFmtId="0" fontId="9" fillId="14" borderId="21" xfId="0" applyFont="1" applyFill="1" applyBorder="1" applyAlignment="1">
      <alignment wrapText="1" readingOrder="1"/>
    </xf>
    <xf numFmtId="4" fontId="30" fillId="14" borderId="21" xfId="0" applyNumberFormat="1" applyFont="1" applyFill="1" applyBorder="1" applyAlignment="1">
      <alignment horizontal="right" wrapText="1" readingOrder="1"/>
    </xf>
    <xf numFmtId="0" fontId="44" fillId="13" borderId="22" xfId="0" applyFont="1" applyFill="1" applyBorder="1" applyAlignment="1">
      <alignment wrapText="1" readingOrder="1"/>
    </xf>
    <xf numFmtId="0" fontId="39" fillId="13" borderId="35" xfId="0" applyFont="1" applyFill="1" applyBorder="1" applyAlignment="1">
      <alignment horizontal="right" wrapText="1" readingOrder="1"/>
    </xf>
    <xf numFmtId="0" fontId="9" fillId="13" borderId="36" xfId="0" applyFont="1" applyFill="1" applyBorder="1" applyAlignment="1">
      <alignment wrapText="1" readingOrder="1"/>
    </xf>
    <xf numFmtId="0" fontId="31" fillId="13" borderId="16" xfId="0" applyFont="1" applyFill="1" applyBorder="1" applyAlignment="1">
      <alignment horizontal="right" wrapText="1" readingOrder="1"/>
    </xf>
    <xf numFmtId="0" fontId="43" fillId="0" borderId="0" xfId="0" applyFont="1">
      <alignment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178" fontId="2" fillId="3" borderId="1" xfId="0" applyNumberFormat="1" applyFont="1" applyFill="1" applyBorder="1" applyAlignment="1">
      <alignment horizontal="right" wrapText="1" readingOrder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4" fontId="0" fillId="0" borderId="16" xfId="0" applyNumberFormat="1" applyBorder="1" applyAlignment="1">
      <alignment horizontal="right" vertic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3" fontId="48" fillId="0" borderId="0" xfId="0" applyNumberFormat="1" applyFont="1">
      <alignment vertical="center"/>
    </xf>
    <xf numFmtId="0" fontId="0" fillId="0" borderId="0" xfId="0" applyAlignment="1"/>
    <xf numFmtId="0" fontId="0" fillId="8" borderId="0" xfId="0" applyFill="1" applyAlignment="1"/>
    <xf numFmtId="0" fontId="0" fillId="8" borderId="0" xfId="0" applyFill="1" applyAlignment="1">
      <alignment horizontal="right"/>
    </xf>
    <xf numFmtId="0" fontId="0" fillId="0" borderId="0" xfId="0" applyAlignment="1">
      <alignment horizontal="right"/>
    </xf>
    <xf numFmtId="0" fontId="27" fillId="0" borderId="0" xfId="0" applyFont="1" applyAlignment="1"/>
    <xf numFmtId="26" fontId="1" fillId="3" borderId="1" xfId="0" applyNumberFormat="1" applyFont="1" applyFill="1" applyBorder="1" applyAlignment="1">
      <alignment horizontal="right" wrapText="1" readingOrder="1"/>
    </xf>
    <xf numFmtId="0" fontId="43" fillId="18" borderId="0" xfId="0" applyFont="1" applyFill="1" applyAlignment="1"/>
    <xf numFmtId="0" fontId="43" fillId="18" borderId="0" xfId="0" applyFont="1" applyFill="1" applyAlignment="1">
      <alignment horizontal="right"/>
    </xf>
    <xf numFmtId="0" fontId="43" fillId="0" borderId="0" xfId="0" applyFont="1" applyAlignment="1"/>
    <xf numFmtId="0" fontId="30" fillId="13" borderId="1" xfId="0" applyFont="1" applyFill="1" applyBorder="1" applyAlignment="1">
      <alignment horizontal="right" wrapText="1" readingOrder="1"/>
    </xf>
    <xf numFmtId="0" fontId="9" fillId="13" borderId="21" xfId="0" applyFont="1" applyFill="1" applyBorder="1" applyAlignment="1">
      <alignment horizontal="right" wrapText="1" readingOrder="1"/>
    </xf>
    <xf numFmtId="0" fontId="30" fillId="13" borderId="18" xfId="0" applyFont="1" applyFill="1" applyBorder="1" applyAlignment="1">
      <alignment horizontal="right" wrapText="1" readingOrder="1"/>
    </xf>
    <xf numFmtId="0" fontId="9" fillId="13" borderId="22" xfId="0" applyFont="1" applyFill="1" applyBorder="1" applyAlignment="1">
      <alignment horizontal="right" wrapText="1" readingOrder="1"/>
    </xf>
    <xf numFmtId="0" fontId="43" fillId="0" borderId="0" xfId="0" applyFont="1" applyAlignment="1">
      <alignment horizontal="right"/>
    </xf>
    <xf numFmtId="0" fontId="30" fillId="13" borderId="21" xfId="0" applyFont="1" applyFill="1" applyBorder="1" applyAlignment="1">
      <alignment horizontal="right" wrapText="1" readingOrder="1"/>
    </xf>
    <xf numFmtId="0" fontId="9" fillId="14" borderId="1" xfId="0" applyFont="1" applyFill="1" applyBorder="1" applyAlignment="1">
      <alignment wrapText="1" readingOrder="1"/>
    </xf>
    <xf numFmtId="0" fontId="44" fillId="13" borderId="18" xfId="0" applyFont="1" applyFill="1" applyBorder="1" applyAlignment="1">
      <alignment wrapText="1" readingOrder="1"/>
    </xf>
    <xf numFmtId="0" fontId="9" fillId="13" borderId="38" xfId="0" applyFont="1" applyFill="1" applyBorder="1" applyAlignment="1">
      <alignment wrapText="1" readingOrder="1"/>
    </xf>
    <xf numFmtId="0" fontId="9" fillId="13" borderId="21" xfId="0" applyFont="1" applyFill="1" applyBorder="1" applyAlignment="1">
      <alignment wrapText="1" readingOrder="1"/>
    </xf>
    <xf numFmtId="0" fontId="27" fillId="8" borderId="0" xfId="0" applyFont="1" applyFill="1" applyAlignment="1"/>
    <xf numFmtId="2" fontId="1" fillId="3" borderId="1" xfId="0" applyNumberFormat="1" applyFont="1" applyFill="1" applyBorder="1" applyAlignment="1">
      <alignment horizontal="right" wrapText="1" readingOrder="1"/>
    </xf>
    <xf numFmtId="0" fontId="0" fillId="0" borderId="0" xfId="0" applyAlignment="1">
      <alignment horizontal="right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" fillId="3" borderId="1" xfId="0" applyFont="1" applyFill="1" applyBorder="1" applyAlignment="1">
      <alignment horizontal="right" wrapText="1" readingOrder="1"/>
    </xf>
    <xf numFmtId="0" fontId="20" fillId="0" borderId="0" xfId="0" applyFont="1" applyAlignment="1">
      <alignment horizontal="left" vertical="center" wrapText="1"/>
    </xf>
    <xf numFmtId="0" fontId="49" fillId="0" borderId="1" xfId="0" applyFont="1" applyBorder="1" applyAlignment="1">
      <alignment horizontal="right" wrapText="1" readingOrder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20" fillId="0" borderId="0" xfId="0" applyFont="1" applyAlignment="1">
      <alignment horizontal="left" vertical="center" wrapText="1"/>
    </xf>
    <xf numFmtId="10" fontId="50" fillId="11" borderId="1" xfId="0" applyNumberFormat="1" applyFont="1" applyFill="1" applyBorder="1" applyAlignment="1">
      <alignment horizontal="left" wrapText="1" readingOrder="1"/>
    </xf>
    <xf numFmtId="0" fontId="14" fillId="11" borderId="1" xfId="0" applyFont="1" applyFill="1" applyBorder="1" applyAlignment="1">
      <alignment horizontal="left" wrapText="1" readingOrder="1"/>
    </xf>
    <xf numFmtId="0" fontId="2" fillId="3" borderId="1" xfId="0" applyFont="1" applyFill="1" applyBorder="1" applyAlignment="1">
      <alignment horizontal="left" wrapText="1" readingOrder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20" fillId="0" borderId="0" xfId="0" applyFont="1" applyAlignment="1">
      <alignment horizontal="left" vertical="center" wrapText="1"/>
    </xf>
    <xf numFmtId="179" fontId="14" fillId="11" borderId="1" xfId="0" applyNumberFormat="1" applyFont="1" applyFill="1" applyBorder="1" applyAlignment="1">
      <alignment horizontal="right" wrapText="1" readingOrder="1"/>
    </xf>
    <xf numFmtId="0" fontId="27" fillId="0" borderId="0" xfId="0" applyFont="1">
      <alignment vertical="center"/>
    </xf>
    <xf numFmtId="0" fontId="52" fillId="0" borderId="0" xfId="0" applyFont="1">
      <alignment vertical="center"/>
    </xf>
    <xf numFmtId="3" fontId="27" fillId="0" borderId="0" xfId="0" applyNumberFormat="1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20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0" fillId="5" borderId="6" xfId="0" applyFont="1" applyFill="1" applyBorder="1" applyAlignment="1">
      <alignment horizontal="right" wrapText="1" readingOrder="1"/>
    </xf>
    <xf numFmtId="0" fontId="2" fillId="3" borderId="1" xfId="0" applyFont="1" applyFill="1" applyBorder="1" applyAlignment="1">
      <alignment horizontal="center" wrapText="1" readingOrder="1"/>
    </xf>
    <xf numFmtId="0" fontId="2" fillId="3" borderId="1" xfId="0" applyFont="1" applyFill="1" applyBorder="1" applyAlignment="1">
      <alignment horizontal="right" wrapText="1" readingOrder="1"/>
    </xf>
    <xf numFmtId="0" fontId="15" fillId="0" borderId="13" xfId="0" applyFont="1" applyBorder="1" applyAlignment="1">
      <alignment horizontal="right" vertical="center" wrapText="1"/>
    </xf>
    <xf numFmtId="0" fontId="16" fillId="0" borderId="13" xfId="0" applyFont="1" applyBorder="1" applyAlignment="1">
      <alignment horizontal="right" vertical="center" wrapText="1"/>
    </xf>
    <xf numFmtId="0" fontId="16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right" vertical="center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1" fillId="0" borderId="20" xfId="0" applyFont="1" applyBorder="1" applyAlignment="1">
      <alignment horizontal="center" vertical="center" wrapText="1" readingOrder="1"/>
    </xf>
    <xf numFmtId="0" fontId="22" fillId="0" borderId="20" xfId="0" applyFont="1" applyBorder="1" applyAlignment="1">
      <alignment horizontal="center" vertical="center" wrapText="1" readingOrder="1"/>
    </xf>
    <xf numFmtId="0" fontId="10" fillId="5" borderId="6" xfId="0" applyFont="1" applyFill="1" applyBorder="1" applyAlignment="1">
      <alignment horizontal="center" wrapText="1" readingOrder="1"/>
    </xf>
    <xf numFmtId="0" fontId="15" fillId="0" borderId="13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wrapText="1" readingOrder="1"/>
    </xf>
    <xf numFmtId="0" fontId="1" fillId="0" borderId="18" xfId="0" applyFont="1" applyBorder="1" applyAlignment="1">
      <alignment horizontal="center" wrapText="1" readingOrder="1"/>
    </xf>
    <xf numFmtId="0" fontId="0" fillId="0" borderId="16" xfId="0" applyBorder="1">
      <alignment vertical="center"/>
    </xf>
    <xf numFmtId="0" fontId="0" fillId="0" borderId="0" xfId="0" applyAlignment="1">
      <alignment horizontal="center" vertical="center" wrapText="1"/>
    </xf>
    <xf numFmtId="0" fontId="37" fillId="15" borderId="27" xfId="0" applyFont="1" applyFill="1" applyBorder="1" applyAlignment="1">
      <alignment horizontal="right" wrapText="1" readingOrder="1"/>
    </xf>
    <xf numFmtId="0" fontId="37" fillId="15" borderId="28" xfId="0" applyFont="1" applyFill="1" applyBorder="1" applyAlignment="1">
      <alignment horizontal="right" wrapText="1" readingOrder="1"/>
    </xf>
    <xf numFmtId="0" fontId="37" fillId="15" borderId="21" xfId="0" applyFont="1" applyFill="1" applyBorder="1" applyAlignment="1">
      <alignment horizontal="right" wrapText="1" readingOrder="1"/>
    </xf>
    <xf numFmtId="0" fontId="31" fillId="13" borderId="19" xfId="0" applyFont="1" applyFill="1" applyBorder="1" applyAlignment="1">
      <alignment horizontal="center" wrapText="1" readingOrder="1"/>
    </xf>
    <xf numFmtId="0" fontId="31" fillId="13" borderId="21" xfId="0" applyFont="1" applyFill="1" applyBorder="1" applyAlignment="1">
      <alignment horizontal="center" wrapText="1" readingOrder="1"/>
    </xf>
    <xf numFmtId="0" fontId="41" fillId="0" borderId="40" xfId="0" applyFont="1" applyBorder="1" applyAlignment="1">
      <alignment horizontal="right" vertical="center" wrapText="1"/>
    </xf>
    <xf numFmtId="0" fontId="41" fillId="0" borderId="41" xfId="0" applyFont="1" applyBorder="1" applyAlignment="1">
      <alignment horizontal="right" vertical="center" wrapText="1"/>
    </xf>
    <xf numFmtId="0" fontId="42" fillId="0" borderId="42" xfId="0" applyFont="1" applyBorder="1" applyAlignment="1">
      <alignment horizontal="right" vertical="center" wrapText="1"/>
    </xf>
    <xf numFmtId="0" fontId="42" fillId="0" borderId="43" xfId="0" applyFont="1" applyBorder="1" applyAlignment="1">
      <alignment horizontal="right" vertical="center" wrapText="1"/>
    </xf>
    <xf numFmtId="0" fontId="42" fillId="0" borderId="44" xfId="0" applyFont="1" applyBorder="1" applyAlignment="1">
      <alignment horizontal="right" vertical="center" wrapText="1"/>
    </xf>
    <xf numFmtId="0" fontId="42" fillId="0" borderId="34" xfId="0" applyFont="1" applyBorder="1" applyAlignment="1">
      <alignment horizontal="right" vertical="center" wrapText="1"/>
    </xf>
    <xf numFmtId="0" fontId="42" fillId="0" borderId="45" xfId="0" applyFont="1" applyBorder="1" applyAlignment="1">
      <alignment horizontal="right" vertical="center" wrapText="1"/>
    </xf>
    <xf numFmtId="0" fontId="42" fillId="0" borderId="46" xfId="0" applyFont="1" applyBorder="1" applyAlignment="1">
      <alignment horizontal="right" vertical="center" wrapText="1"/>
    </xf>
    <xf numFmtId="0" fontId="43" fillId="0" borderId="47" xfId="0" applyFont="1" applyBorder="1" applyAlignment="1">
      <alignment horizontal="right" vertical="center"/>
    </xf>
    <xf numFmtId="0" fontId="43" fillId="0" borderId="48" xfId="0" applyFont="1" applyBorder="1" applyAlignment="1">
      <alignment horizontal="right" vertical="center"/>
    </xf>
    <xf numFmtId="0" fontId="43" fillId="0" borderId="49" xfId="0" applyFont="1" applyBorder="1" applyAlignment="1">
      <alignment horizontal="right" vertical="center"/>
    </xf>
    <xf numFmtId="0" fontId="43" fillId="0" borderId="37" xfId="0" applyFont="1" applyBorder="1" applyAlignment="1">
      <alignment horizontal="right" vertical="center"/>
    </xf>
    <xf numFmtId="0" fontId="10" fillId="5" borderId="27" xfId="0" applyFont="1" applyFill="1" applyBorder="1" applyAlignment="1">
      <alignment horizontal="right" wrapText="1" readingOrder="1"/>
    </xf>
    <xf numFmtId="0" fontId="10" fillId="5" borderId="28" xfId="0" applyFont="1" applyFill="1" applyBorder="1" applyAlignment="1">
      <alignment horizontal="right" wrapText="1" readingOrder="1"/>
    </xf>
    <xf numFmtId="0" fontId="10" fillId="5" borderId="21" xfId="0" applyFont="1" applyFill="1" applyBorder="1" applyAlignment="1">
      <alignment horizontal="right" wrapText="1" readingOrder="1"/>
    </xf>
    <xf numFmtId="0" fontId="2" fillId="3" borderId="19" xfId="0" applyFont="1" applyFill="1" applyBorder="1" applyAlignment="1">
      <alignment horizontal="center" wrapText="1" readingOrder="1"/>
    </xf>
    <xf numFmtId="0" fontId="2" fillId="3" borderId="21" xfId="0" applyFont="1" applyFill="1" applyBorder="1" applyAlignment="1">
      <alignment horizontal="center" wrapText="1" readingOrder="1"/>
    </xf>
    <xf numFmtId="0" fontId="15" fillId="0" borderId="40" xfId="0" applyFont="1" applyBorder="1" applyAlignment="1">
      <alignment horizontal="right" vertical="center" wrapText="1"/>
    </xf>
    <xf numFmtId="0" fontId="15" fillId="0" borderId="41" xfId="0" applyFont="1" applyBorder="1" applyAlignment="1">
      <alignment horizontal="right" vertical="center" wrapText="1"/>
    </xf>
    <xf numFmtId="0" fontId="16" fillId="0" borderId="42" xfId="0" applyFont="1" applyBorder="1" applyAlignment="1">
      <alignment horizontal="right" vertical="center" wrapText="1"/>
    </xf>
    <xf numFmtId="0" fontId="16" fillId="0" borderId="43" xfId="0" applyFont="1" applyBorder="1" applyAlignment="1">
      <alignment horizontal="right" vertical="center" wrapText="1"/>
    </xf>
    <xf numFmtId="0" fontId="16" fillId="0" borderId="44" xfId="0" applyFont="1" applyBorder="1" applyAlignment="1">
      <alignment horizontal="right" vertical="center" wrapText="1"/>
    </xf>
    <xf numFmtId="0" fontId="16" fillId="0" borderId="34" xfId="0" applyFont="1" applyBorder="1" applyAlignment="1">
      <alignment horizontal="right" vertical="center" wrapText="1"/>
    </xf>
    <xf numFmtId="0" fontId="16" fillId="0" borderId="45" xfId="0" applyFont="1" applyBorder="1" applyAlignment="1">
      <alignment horizontal="right" vertical="center" wrapText="1"/>
    </xf>
    <xf numFmtId="0" fontId="16" fillId="0" borderId="46" xfId="0" applyFont="1" applyBorder="1" applyAlignment="1">
      <alignment horizontal="right" vertical="center" wrapText="1"/>
    </xf>
    <xf numFmtId="0" fontId="0" fillId="0" borderId="47" xfId="0" applyBorder="1" applyAlignment="1">
      <alignment horizontal="right" vertical="center"/>
    </xf>
    <xf numFmtId="0" fontId="0" fillId="0" borderId="48" xfId="0" applyBorder="1" applyAlignment="1">
      <alignment horizontal="right" vertical="center"/>
    </xf>
    <xf numFmtId="0" fontId="0" fillId="0" borderId="49" xfId="0" applyBorder="1" applyAlignment="1">
      <alignment horizontal="right" vertical="center"/>
    </xf>
    <xf numFmtId="0" fontId="0" fillId="0" borderId="37" xfId="0" applyBorder="1" applyAlignment="1">
      <alignment horizontal="right" vertical="center"/>
    </xf>
    <xf numFmtId="24" fontId="12" fillId="3" borderId="1" xfId="0" applyNumberFormat="1" applyFont="1" applyFill="1" applyBorder="1" applyAlignment="1">
      <alignment horizontal="left" wrapText="1" readingOrder="1"/>
    </xf>
    <xf numFmtId="24" fontId="2" fillId="3" borderId="1" xfId="0" applyNumberFormat="1" applyFont="1" applyFill="1" applyBorder="1" applyAlignment="1">
      <alignment horizontal="right" wrapText="1" readingOrder="1"/>
    </xf>
    <xf numFmtId="0" fontId="12" fillId="3" borderId="1" xfId="0" applyFont="1" applyFill="1" applyBorder="1" applyAlignment="1">
      <alignment horizontal="left" wrapText="1" readingOrder="1"/>
    </xf>
    <xf numFmtId="0" fontId="53" fillId="10" borderId="1" xfId="0" applyFont="1" applyFill="1" applyBorder="1" applyAlignment="1">
      <alignment wrapText="1" readingOrder="1"/>
    </xf>
    <xf numFmtId="10" fontId="1" fillId="11" borderId="1" xfId="0" applyNumberFormat="1" applyFont="1" applyFill="1" applyBorder="1" applyAlignment="1">
      <alignment horizontal="left" wrapText="1" readingOrder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EBE43-B12A-D946-9AB4-BB96665F577A}">
  <dimension ref="A1:M32"/>
  <sheetViews>
    <sheetView topLeftCell="A4" zoomScale="140" workbookViewId="0">
      <selection activeCell="J22" sqref="J22"/>
    </sheetView>
  </sheetViews>
  <sheetFormatPr baseColWidth="10" defaultColWidth="9" defaultRowHeight="14"/>
  <cols>
    <col min="2" max="2" width="20.1640625" customWidth="1"/>
    <col min="3" max="3" width="16.33203125" style="376" customWidth="1"/>
    <col min="4" max="4" width="12.5" style="376" customWidth="1"/>
    <col min="5" max="5" width="9.1640625" style="376" bestFit="1" customWidth="1"/>
    <col min="6" max="6" width="12.83203125" style="376" customWidth="1"/>
    <col min="7" max="7" width="21.83203125" style="376" customWidth="1"/>
    <col min="8" max="8" width="16.83203125" style="376" customWidth="1"/>
    <col min="9" max="9" width="15.6640625" style="376" customWidth="1"/>
    <col min="10" max="12" width="9.1640625" style="376" bestFit="1" customWidth="1"/>
    <col min="13" max="13" width="13.1640625" style="376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89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0.2</v>
      </c>
      <c r="K3" s="12">
        <v>0.2</v>
      </c>
      <c r="L3" s="12">
        <v>0.16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178804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/>
      <c r="C8" s="25"/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78" t="s">
        <v>12</v>
      </c>
      <c r="C10" s="30">
        <v>2022</v>
      </c>
      <c r="D10" s="379">
        <v>2023</v>
      </c>
      <c r="E10" s="379">
        <v>2024</v>
      </c>
      <c r="F10" s="379">
        <v>2025</v>
      </c>
      <c r="G10" s="379">
        <v>2026</v>
      </c>
      <c r="H10" s="379">
        <v>2027</v>
      </c>
      <c r="I10" s="6"/>
      <c r="J10" s="6"/>
      <c r="K10" s="6"/>
      <c r="L10" s="6"/>
      <c r="M10" s="6"/>
    </row>
    <row r="11" spans="1:13" ht="18" thickBot="1">
      <c r="A11" s="2"/>
      <c r="B11" s="7" t="s">
        <v>13</v>
      </c>
      <c r="C11" s="32">
        <v>58137</v>
      </c>
      <c r="D11" s="33">
        <f>C11*(1+H3)</f>
        <v>69764.399999999994</v>
      </c>
      <c r="E11" s="33">
        <f>D11*(1+$I$3)</f>
        <v>83717.279999999984</v>
      </c>
      <c r="F11" s="33">
        <f>E11*(1+$J$3)</f>
        <v>100460.73599999998</v>
      </c>
      <c r="G11" s="33">
        <f>F11*(1+$K$3)</f>
        <v>120552.88319999997</v>
      </c>
      <c r="H11" s="33">
        <f>G11*(1+$L$3)</f>
        <v>139841.34451199995</v>
      </c>
      <c r="I11" s="6"/>
      <c r="J11" s="6"/>
      <c r="K11" s="6"/>
      <c r="L11" s="6"/>
      <c r="M11" s="6"/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90">
        <f>H11*(1+C4)/(C6-C4)</f>
        <v>1911165.0416639987</v>
      </c>
      <c r="I12" s="6"/>
      <c r="J12" s="6"/>
      <c r="K12" s="6"/>
      <c r="L12" s="6"/>
      <c r="M12" s="6"/>
    </row>
    <row r="13" spans="1:13" ht="20" thickBot="1">
      <c r="A13" s="2"/>
      <c r="B13" s="35" t="s">
        <v>15</v>
      </c>
      <c r="C13" s="34"/>
      <c r="D13" s="33">
        <f t="shared" ref="D13:G13" si="0">D11</f>
        <v>69764.399999999994</v>
      </c>
      <c r="E13" s="33">
        <f t="shared" si="0"/>
        <v>83717.279999999984</v>
      </c>
      <c r="F13" s="33">
        <f t="shared" si="0"/>
        <v>100460.73599999998</v>
      </c>
      <c r="G13" s="33">
        <f t="shared" si="0"/>
        <v>120552.88319999997</v>
      </c>
      <c r="H13" s="33">
        <f>H11+H12</f>
        <v>2051006.3861759987</v>
      </c>
      <c r="I13" s="6"/>
      <c r="J13" s="6"/>
      <c r="K13" s="6"/>
      <c r="L13" s="6"/>
      <c r="M13" s="6"/>
    </row>
    <row r="14" spans="1:13" ht="15" thickBot="1">
      <c r="A14" s="2"/>
      <c r="B14" s="36" t="s">
        <v>35</v>
      </c>
      <c r="C14" s="37">
        <f>C11/J5</f>
        <v>0.32514373280239817</v>
      </c>
      <c r="D14" s="37">
        <f>C14*(1+$H$3)/(1+$H$4)</f>
        <v>0.30013267643298291</v>
      </c>
      <c r="E14" s="37">
        <f>D14*(1+$I$3)/(1+$I$4)</f>
        <v>0.2770455474765996</v>
      </c>
      <c r="F14" s="37">
        <f>E14*(1+$J$3)/(1+$J$4)</f>
        <v>0.2770455474765996</v>
      </c>
      <c r="G14" s="37">
        <f>F14*(1+$K$3)/(1+$K$4)</f>
        <v>0.2770455474765996</v>
      </c>
      <c r="H14" s="37">
        <f>G14*(1+$L$3)/(1+$L$4)</f>
        <v>0.26781069589404627</v>
      </c>
      <c r="I14" s="6"/>
      <c r="J14" s="6"/>
      <c r="K14" s="6"/>
      <c r="L14" s="6"/>
      <c r="M14" s="6"/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601.71541218151151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NPV(C6,D13:H13)</f>
        <v>1563940.4946110223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32">
        <v>47071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49560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379">
        <f>C17+C18-C19</f>
        <v>1561451.4946110223</v>
      </c>
      <c r="D20" s="47"/>
      <c r="E20" s="460" t="s">
        <v>22</v>
      </c>
      <c r="F20" s="461">
        <f>C23</f>
        <v>738.7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2595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601.71541218151151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738.7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-0.18544008097805406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6"/>
  <sheetViews>
    <sheetView zoomScale="125" workbookViewId="0">
      <selection activeCell="I27" sqref="I27"/>
    </sheetView>
  </sheetViews>
  <sheetFormatPr baseColWidth="10" defaultColWidth="9" defaultRowHeight="14"/>
  <cols>
    <col min="2" max="2" width="20.1640625" customWidth="1"/>
    <col min="3" max="3" width="18.1640625" customWidth="1"/>
    <col min="4" max="6" width="9.1640625" bestFit="1" customWidth="1"/>
    <col min="7" max="8" width="9.83203125" bestFit="1" customWidth="1"/>
    <col min="9" max="12" width="9.1640625" bestFit="1" customWidth="1"/>
    <col min="13" max="13" width="13.1640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64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0.18</v>
      </c>
      <c r="I3" s="66">
        <v>0.18</v>
      </c>
      <c r="J3" s="66">
        <v>0.18</v>
      </c>
      <c r="K3" s="66">
        <v>0.15</v>
      </c>
      <c r="L3" s="66">
        <v>0.15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17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38"/>
      <c r="J5" s="38"/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17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38"/>
      <c r="J7" s="38"/>
      <c r="K7" s="38"/>
      <c r="L7" s="38"/>
      <c r="M7" s="38"/>
    </row>
    <row r="8" spans="1:13" ht="15">
      <c r="A8" s="2"/>
      <c r="B8" s="24" t="s">
        <v>11</v>
      </c>
      <c r="C8" s="76">
        <v>0.1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38"/>
      <c r="J8" s="38"/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1940</v>
      </c>
      <c r="D11" s="82">
        <f>C11*(1+H3)</f>
        <v>2289.1999999999998</v>
      </c>
      <c r="E11" s="82">
        <f>D11*(1+$I$3)</f>
        <v>2701.2559999999999</v>
      </c>
      <c r="F11" s="82">
        <f>E11*(1+$J$3)</f>
        <v>3187.4820799999998</v>
      </c>
      <c r="G11" s="82">
        <f>F11*(1+$K$3)</f>
        <v>3665.6043919999993</v>
      </c>
      <c r="H11" s="82">
        <f>G11*(1+$L$3)</f>
        <v>4215.4450507999991</v>
      </c>
      <c r="I11" s="82">
        <f>H11*(1+$C$8)</f>
        <v>4636.989555879999</v>
      </c>
      <c r="J11" s="82">
        <f>I11*(1+$C$8)</f>
        <v>5100.688511467999</v>
      </c>
      <c r="K11" s="82">
        <f>J11*(1+$C$8)</f>
        <v>5610.7573626147996</v>
      </c>
      <c r="L11" s="82">
        <f>K11*(1+$C$8)</f>
        <v>6171.83309887628</v>
      </c>
      <c r="M11" s="82">
        <f>L11*(1+$C$8)</f>
        <v>6789.0164087639087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92783.224253106731</v>
      </c>
    </row>
    <row r="13" spans="1:13" ht="19">
      <c r="A13" s="2"/>
      <c r="B13" s="35" t="s">
        <v>15</v>
      </c>
      <c r="C13" s="83"/>
      <c r="D13" s="82">
        <f t="shared" ref="D13:L13" si="0">D11</f>
        <v>2289.1999999999998</v>
      </c>
      <c r="E13" s="82">
        <f t="shared" si="0"/>
        <v>2701.2559999999999</v>
      </c>
      <c r="F13" s="82">
        <f t="shared" si="0"/>
        <v>3187.4820799999998</v>
      </c>
      <c r="G13" s="82">
        <f t="shared" si="0"/>
        <v>3665.6043919999993</v>
      </c>
      <c r="H13" s="82">
        <f t="shared" si="0"/>
        <v>4215.4450507999991</v>
      </c>
      <c r="I13" s="82">
        <f t="shared" si="0"/>
        <v>4636.989555879999</v>
      </c>
      <c r="J13" s="82">
        <f t="shared" si="0"/>
        <v>5100.688511467999</v>
      </c>
      <c r="K13" s="82">
        <f t="shared" si="0"/>
        <v>5610.7573626147996</v>
      </c>
      <c r="L13" s="82">
        <f t="shared" si="0"/>
        <v>6171.83309887628</v>
      </c>
      <c r="M13" s="97">
        <f>M11+M12</f>
        <v>99572.240661870645</v>
      </c>
    </row>
    <row r="14" spans="1:13">
      <c r="A14" s="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506.45154817051861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60688.701262167422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5900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750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65838.701262167422</v>
      </c>
      <c r="D20" s="90"/>
      <c r="E20" s="471" t="s">
        <v>22</v>
      </c>
      <c r="F20" s="474">
        <v>463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130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506.45154817051861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463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9.3847836221422481E-2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6"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6"/>
  <sheetViews>
    <sheetView zoomScale="116" workbookViewId="0">
      <selection activeCell="G9" sqref="G9"/>
    </sheetView>
  </sheetViews>
  <sheetFormatPr baseColWidth="10" defaultColWidth="9" defaultRowHeight="14"/>
  <cols>
    <col min="2" max="2" width="20.1640625" customWidth="1"/>
    <col min="3" max="3" width="18.1640625" customWidth="1"/>
    <col min="4" max="6" width="9.1640625" bestFit="1" customWidth="1"/>
    <col min="7" max="8" width="9.83203125" bestFit="1" customWidth="1"/>
    <col min="9" max="12" width="9.1640625" bestFit="1" customWidth="1"/>
    <col min="13" max="13" width="13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65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0.2</v>
      </c>
      <c r="I3" s="66">
        <v>0.2</v>
      </c>
      <c r="J3" s="66">
        <v>0.18</v>
      </c>
      <c r="K3" s="66">
        <v>0.15</v>
      </c>
      <c r="L3" s="66">
        <v>0.15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17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38"/>
      <c r="J5" s="38"/>
      <c r="K5" s="38"/>
      <c r="L5" s="38"/>
      <c r="M5" s="38"/>
    </row>
    <row r="6" spans="1:13" ht="34">
      <c r="A6" s="2"/>
      <c r="B6" s="7" t="s">
        <v>5</v>
      </c>
      <c r="C6" s="67">
        <v>0.08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17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38"/>
      <c r="J7" s="38"/>
      <c r="K7" s="38"/>
      <c r="L7" s="38"/>
      <c r="M7" s="38"/>
    </row>
    <row r="8" spans="1:13" ht="15">
      <c r="A8" s="2"/>
      <c r="B8" s="24" t="s">
        <v>11</v>
      </c>
      <c r="C8" s="76">
        <v>0.1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38"/>
      <c r="J8" s="38"/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1100</v>
      </c>
      <c r="D11" s="82">
        <f>C11*(1+H3)</f>
        <v>1320</v>
      </c>
      <c r="E11" s="82">
        <f>D11*(1+$I$3)</f>
        <v>1584</v>
      </c>
      <c r="F11" s="82">
        <f>E11*(1+$J$3)</f>
        <v>1869.12</v>
      </c>
      <c r="G11" s="82">
        <f>F11*(1+$K$3)</f>
        <v>2149.4879999999998</v>
      </c>
      <c r="H11" s="82">
        <f>G11*(1+$L$3)</f>
        <v>2471.9111999999996</v>
      </c>
      <c r="I11" s="82">
        <f>H11*(1+$C$8)</f>
        <v>2719.1023199999995</v>
      </c>
      <c r="J11" s="82">
        <f>I11*(1+$C$8)</f>
        <v>2991.0125519999997</v>
      </c>
      <c r="K11" s="82">
        <f>J11*(1+$C$8)</f>
        <v>3290.1138071999999</v>
      </c>
      <c r="L11" s="82">
        <f>K11*(1+$C$8)</f>
        <v>3619.1251879200004</v>
      </c>
      <c r="M11" s="82">
        <f>L11*(1+$C$8)</f>
        <v>3981.0377067120007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74192.066352360009</v>
      </c>
    </row>
    <row r="13" spans="1:13" ht="19">
      <c r="A13" s="2"/>
      <c r="B13" s="35" t="s">
        <v>15</v>
      </c>
      <c r="C13" s="83"/>
      <c r="D13" s="82">
        <f t="shared" ref="D13:L13" si="0">D11</f>
        <v>1320</v>
      </c>
      <c r="E13" s="82">
        <f t="shared" si="0"/>
        <v>1584</v>
      </c>
      <c r="F13" s="82">
        <f t="shared" si="0"/>
        <v>1869.12</v>
      </c>
      <c r="G13" s="82">
        <f t="shared" si="0"/>
        <v>2149.4879999999998</v>
      </c>
      <c r="H13" s="82">
        <f t="shared" si="0"/>
        <v>2471.9111999999996</v>
      </c>
      <c r="I13" s="82">
        <f t="shared" si="0"/>
        <v>2719.1023199999995</v>
      </c>
      <c r="J13" s="82">
        <f t="shared" si="0"/>
        <v>2991.0125519999997</v>
      </c>
      <c r="K13" s="82">
        <f t="shared" si="0"/>
        <v>3290.1138071999999</v>
      </c>
      <c r="L13" s="82">
        <f t="shared" si="0"/>
        <v>3619.1251879200004</v>
      </c>
      <c r="M13" s="97">
        <f>M11+M12</f>
        <v>78173.104059072008</v>
      </c>
    </row>
    <row r="14" spans="1:13">
      <c r="A14" s="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89.973381947790187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50582.298995280478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9850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600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59832.298995280478</v>
      </c>
      <c r="D20" s="90"/>
      <c r="E20" s="471" t="s">
        <v>22</v>
      </c>
      <c r="F20" s="474">
        <v>82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665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89.973381947790187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82</v>
      </c>
      <c r="D23" s="38" t="s">
        <v>82</v>
      </c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9.7236365216953502E-2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6"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6"/>
  <sheetViews>
    <sheetView zoomScale="133" workbookViewId="0">
      <selection activeCell="M26" sqref="M26"/>
    </sheetView>
  </sheetViews>
  <sheetFormatPr baseColWidth="10" defaultColWidth="9" defaultRowHeight="14"/>
  <cols>
    <col min="2" max="2" width="20.1640625" customWidth="1"/>
    <col min="3" max="3" width="18.1640625" customWidth="1"/>
    <col min="4" max="6" width="9.1640625" bestFit="1" customWidth="1"/>
    <col min="7" max="8" width="9.83203125" bestFit="1" customWidth="1"/>
    <col min="9" max="12" width="9.1640625" bestFit="1" customWidth="1"/>
    <col min="13" max="13" width="12.6640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66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0.7</v>
      </c>
      <c r="I3" s="66">
        <v>0.3</v>
      </c>
      <c r="J3" s="66">
        <v>0.18</v>
      </c>
      <c r="K3" s="66">
        <v>0.15</v>
      </c>
      <c r="L3" s="66">
        <v>0.15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17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38"/>
      <c r="J5" s="38"/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17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38"/>
      <c r="J7" s="38"/>
      <c r="K7" s="38"/>
      <c r="L7" s="38"/>
      <c r="M7" s="38"/>
    </row>
    <row r="8" spans="1:13" ht="15">
      <c r="A8" s="2"/>
      <c r="B8" s="24" t="s">
        <v>11</v>
      </c>
      <c r="C8" s="76">
        <v>0.1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38"/>
      <c r="J8" s="38"/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700</v>
      </c>
      <c r="D11" s="82">
        <f>C11*(1+H3)</f>
        <v>1190</v>
      </c>
      <c r="E11" s="82">
        <f>D11*(1+$I$3)</f>
        <v>1547</v>
      </c>
      <c r="F11" s="82">
        <f>E11*(1+$J$3)</f>
        <v>1825.4599999999998</v>
      </c>
      <c r="G11" s="82">
        <f>F11*(1+$K$3)</f>
        <v>2099.2789999999995</v>
      </c>
      <c r="H11" s="82">
        <f>G11*(1+$L$3)</f>
        <v>2414.1708499999991</v>
      </c>
      <c r="I11" s="82">
        <f>H11*(1+$C$8)</f>
        <v>2655.5879349999991</v>
      </c>
      <c r="J11" s="82">
        <f>I11*(1+$C$8)</f>
        <v>2921.1467284999994</v>
      </c>
      <c r="K11" s="82">
        <f>J11*(1+$C$8)</f>
        <v>3213.2614013499997</v>
      </c>
      <c r="L11" s="82">
        <f>K11*(1+$C$8)</f>
        <v>3534.5875414849997</v>
      </c>
      <c r="M11" s="82">
        <f>L11*(1+$C$8)</f>
        <v>3888.0462956335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53136.632706991157</v>
      </c>
    </row>
    <row r="13" spans="1:13" ht="19">
      <c r="A13" s="2"/>
      <c r="B13" s="35" t="s">
        <v>15</v>
      </c>
      <c r="C13" s="83"/>
      <c r="D13" s="82">
        <f t="shared" ref="D13:L13" si="0">D11</f>
        <v>1190</v>
      </c>
      <c r="E13" s="82">
        <f t="shared" si="0"/>
        <v>1547</v>
      </c>
      <c r="F13" s="82">
        <f t="shared" si="0"/>
        <v>1825.4599999999998</v>
      </c>
      <c r="G13" s="82">
        <f t="shared" si="0"/>
        <v>2099.2789999999995</v>
      </c>
      <c r="H13" s="82">
        <f t="shared" si="0"/>
        <v>2414.1708499999991</v>
      </c>
      <c r="I13" s="82">
        <f t="shared" si="0"/>
        <v>2655.5879349999991</v>
      </c>
      <c r="J13" s="82">
        <f t="shared" si="0"/>
        <v>2921.1467284999994</v>
      </c>
      <c r="K13" s="82">
        <f t="shared" si="0"/>
        <v>3213.2614013499997</v>
      </c>
      <c r="L13" s="82">
        <f t="shared" si="0"/>
        <v>3534.5875414849997</v>
      </c>
      <c r="M13" s="97">
        <f>M11+M12</f>
        <v>57024.67900262466</v>
      </c>
    </row>
    <row r="14" spans="1:13">
      <c r="A14" s="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36.748636819658877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34646.194611230778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7300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16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41930.194611230778</v>
      </c>
      <c r="D20" s="90"/>
      <c r="E20" s="471" t="s">
        <v>22</v>
      </c>
      <c r="F20" s="474">
        <v>50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1141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36.748636819658877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50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-0.26502726360682244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SELL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6"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26"/>
  <sheetViews>
    <sheetView zoomScale="150" workbookViewId="0">
      <selection activeCell="H3" sqref="H3"/>
    </sheetView>
  </sheetViews>
  <sheetFormatPr baseColWidth="10" defaultColWidth="9" defaultRowHeight="14"/>
  <cols>
    <col min="2" max="2" width="20.1640625" customWidth="1"/>
    <col min="3" max="3" width="18.1640625" customWidth="1"/>
    <col min="4" max="12" width="10.1640625"/>
    <col min="13" max="13" width="12.6640625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67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0.8</v>
      </c>
      <c r="I3" s="66">
        <v>0.4</v>
      </c>
      <c r="J3" s="66">
        <v>0.3</v>
      </c>
      <c r="K3" s="66">
        <v>0.2</v>
      </c>
      <c r="L3" s="66">
        <v>0.2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30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95" t="s">
        <v>31</v>
      </c>
      <c r="J5" s="93">
        <v>13841</v>
      </c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30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83" t="s">
        <v>61</v>
      </c>
      <c r="J7" s="96">
        <v>0.1</v>
      </c>
      <c r="K7" s="38"/>
      <c r="L7" s="38"/>
      <c r="M7" s="38"/>
    </row>
    <row r="8" spans="1:13" ht="29">
      <c r="A8" s="2"/>
      <c r="B8" s="24" t="s">
        <v>11</v>
      </c>
      <c r="C8" s="76">
        <v>0.15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83" t="s">
        <v>62</v>
      </c>
      <c r="J8" s="96">
        <v>0.08</v>
      </c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850</v>
      </c>
      <c r="D11" s="82">
        <f>C11*(1+H3)</f>
        <v>1530</v>
      </c>
      <c r="E11" s="82">
        <f>D11*(1+$I$3)</f>
        <v>2142</v>
      </c>
      <c r="F11" s="82">
        <f>E11*(1+$J$3)</f>
        <v>2784.6</v>
      </c>
      <c r="G11" s="82">
        <f>F11*(1+$K$3)</f>
        <v>3341.52</v>
      </c>
      <c r="H11" s="82">
        <f>G11*(1+$L$3)</f>
        <v>4009.8239999999996</v>
      </c>
      <c r="I11" s="82">
        <f>H11*(1+$C$8)</f>
        <v>4611.297599999999</v>
      </c>
      <c r="J11" s="82">
        <f>I11*(1+$C$8)</f>
        <v>5302.9922399999987</v>
      </c>
      <c r="K11" s="82">
        <f>J11*(1+$C$8)</f>
        <v>6098.4410759999982</v>
      </c>
      <c r="L11" s="82">
        <f>K11*(1+$C$8)</f>
        <v>7013.2072373999972</v>
      </c>
      <c r="M11" s="82">
        <f>L11*(1+$C$8)</f>
        <v>8065.1883230099966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110224.24041446992</v>
      </c>
    </row>
    <row r="13" spans="1:13" ht="19">
      <c r="A13" s="2"/>
      <c r="B13" s="35" t="s">
        <v>15</v>
      </c>
      <c r="C13" s="83"/>
      <c r="D13" s="82">
        <f t="shared" ref="D13:L13" si="0">D11</f>
        <v>1530</v>
      </c>
      <c r="E13" s="82">
        <f t="shared" si="0"/>
        <v>2142</v>
      </c>
      <c r="F13" s="82">
        <f t="shared" si="0"/>
        <v>2784.6</v>
      </c>
      <c r="G13" s="82">
        <f t="shared" si="0"/>
        <v>3341.52</v>
      </c>
      <c r="H13" s="82">
        <f t="shared" si="0"/>
        <v>4009.8239999999996</v>
      </c>
      <c r="I13" s="82">
        <f t="shared" si="0"/>
        <v>4611.297599999999</v>
      </c>
      <c r="J13" s="82">
        <f t="shared" si="0"/>
        <v>5302.9922399999987</v>
      </c>
      <c r="K13" s="82">
        <f t="shared" si="0"/>
        <v>6098.4410759999982</v>
      </c>
      <c r="L13" s="82">
        <f t="shared" si="0"/>
        <v>7013.2072373999972</v>
      </c>
      <c r="M13" s="97">
        <f>M11+M12</f>
        <v>118289.42873747992</v>
      </c>
    </row>
    <row r="14" spans="1:13">
      <c r="A14" s="2"/>
      <c r="B14" s="36" t="s">
        <v>35</v>
      </c>
      <c r="C14" s="84">
        <f>C11/J5</f>
        <v>6.1411747706090598E-2</v>
      </c>
      <c r="D14" s="84">
        <f>C14*(1+$C$3)/(1+$J$7)</f>
        <v>6.6994633861189742E-2</v>
      </c>
      <c r="E14" s="84">
        <f>D14*(1+$C$3)/(1+$J$7)</f>
        <v>7.3085055121297898E-2</v>
      </c>
      <c r="F14" s="84">
        <f>E14*(1+$C$3)/(1+$J$7)</f>
        <v>7.9729151041415883E-2</v>
      </c>
      <c r="G14" s="84">
        <f>F14*(1+$C$3)/(1+$J$7)</f>
        <v>8.6977255681544588E-2</v>
      </c>
      <c r="H14" s="84">
        <f>G14*(1+$C$3)/(1+$J$7)</f>
        <v>9.4884278925321364E-2</v>
      </c>
      <c r="I14" s="98">
        <f>H14*(1+$C$8)/(1+$J$8)</f>
        <v>0.1010341858927033</v>
      </c>
      <c r="J14" s="98">
        <f>I14*(1+$C$8)/(1+$J$8)</f>
        <v>0.10758269794130441</v>
      </c>
      <c r="K14" s="98">
        <f>J14*(1+$C$8)/(1+$J$8)</f>
        <v>0.11455565058564821</v>
      </c>
      <c r="L14" s="98">
        <f>K14*(1+$C$8)/(1+$J$8)</f>
        <v>0.12198055386434761</v>
      </c>
      <c r="M14" s="98">
        <f>L14*(1+$C$8)/(1+$J$8)</f>
        <v>0.12988670087407383</v>
      </c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357.34633373492358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66774.535078310102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4671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1763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69682.535078310102</v>
      </c>
      <c r="D20" s="90"/>
      <c r="E20" s="471" t="s">
        <v>22</v>
      </c>
      <c r="F20" s="474">
        <f>C23</f>
        <v>283.61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195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357.34633373492358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283.61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0.25999200922013876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</sheetData>
  <mergeCells count="6"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2"/>
  <sheetViews>
    <sheetView zoomScale="115" workbookViewId="0">
      <selection activeCell="D25" sqref="D25"/>
    </sheetView>
  </sheetViews>
  <sheetFormatPr baseColWidth="10" defaultColWidth="9" defaultRowHeight="14"/>
  <cols>
    <col min="2" max="2" width="20.1640625" customWidth="1"/>
    <col min="3" max="3" width="18.1640625" customWidth="1"/>
    <col min="4" max="12" width="10.1640625"/>
    <col min="13" max="13" width="12.6640625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60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0.2</v>
      </c>
      <c r="I3" s="66">
        <v>0.2</v>
      </c>
      <c r="J3" s="66">
        <v>0.2</v>
      </c>
      <c r="K3" s="66">
        <v>0.2</v>
      </c>
      <c r="L3" s="66">
        <v>0.2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30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95" t="s">
        <v>31</v>
      </c>
      <c r="J5" s="81">
        <v>17108</v>
      </c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30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83" t="s">
        <v>61</v>
      </c>
      <c r="J7" s="96">
        <v>0.2</v>
      </c>
      <c r="K7" s="38"/>
      <c r="L7" s="38"/>
      <c r="M7" s="38"/>
    </row>
    <row r="8" spans="1:13" ht="29">
      <c r="A8" s="2"/>
      <c r="B8" s="24" t="s">
        <v>11</v>
      </c>
      <c r="C8" s="76">
        <v>0.1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83" t="s">
        <v>62</v>
      </c>
      <c r="J8" s="96">
        <v>0.08</v>
      </c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5628</v>
      </c>
      <c r="D11" s="82">
        <f>C11*(1+H3)</f>
        <v>6753.5999999999995</v>
      </c>
      <c r="E11" s="82">
        <f>D11*(1+$I$3)</f>
        <v>8104.3199999999988</v>
      </c>
      <c r="F11" s="82">
        <f>E11*(1+$J$3)</f>
        <v>9725.1839999999975</v>
      </c>
      <c r="G11" s="82">
        <f>F11*(1+$K$3)</f>
        <v>11670.220799999997</v>
      </c>
      <c r="H11" s="82">
        <f>G11*(1+$L$3)</f>
        <v>14004.264959999997</v>
      </c>
      <c r="I11" s="82">
        <f>H11*(1+$C$8)</f>
        <v>15404.691455999997</v>
      </c>
      <c r="J11" s="82">
        <f>I11*(1+$C$8)</f>
        <v>16945.160601599997</v>
      </c>
      <c r="K11" s="82">
        <f>J11*(1+$C$8)</f>
        <v>18639.676661759997</v>
      </c>
      <c r="L11" s="82">
        <f>K11*(1+$C$8)</f>
        <v>20503.644327935999</v>
      </c>
      <c r="M11" s="82">
        <f>L11*(1+$C$8)</f>
        <v>22554.008760729601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308238.11972997111</v>
      </c>
    </row>
    <row r="13" spans="1:13" ht="19">
      <c r="A13" s="2"/>
      <c r="B13" s="35" t="s">
        <v>15</v>
      </c>
      <c r="C13" s="83"/>
      <c r="D13" s="82">
        <f t="shared" ref="D13:L13" si="0">D11</f>
        <v>6753.5999999999995</v>
      </c>
      <c r="E13" s="82">
        <f t="shared" si="0"/>
        <v>8104.3199999999988</v>
      </c>
      <c r="F13" s="82">
        <f t="shared" si="0"/>
        <v>9725.1839999999975</v>
      </c>
      <c r="G13" s="82">
        <f t="shared" si="0"/>
        <v>11670.220799999997</v>
      </c>
      <c r="H13" s="82">
        <f t="shared" si="0"/>
        <v>14004.264959999997</v>
      </c>
      <c r="I13" s="82">
        <f t="shared" si="0"/>
        <v>15404.691455999997</v>
      </c>
      <c r="J13" s="82">
        <f t="shared" si="0"/>
        <v>16945.160601599997</v>
      </c>
      <c r="K13" s="82">
        <f t="shared" si="0"/>
        <v>18639.676661759997</v>
      </c>
      <c r="L13" s="82">
        <f t="shared" si="0"/>
        <v>20503.644327935999</v>
      </c>
      <c r="M13" s="97">
        <f>M11+M12</f>
        <v>330792.12849070074</v>
      </c>
    </row>
    <row r="14" spans="1:13">
      <c r="A14" s="2"/>
      <c r="B14" s="36" t="s">
        <v>35</v>
      </c>
      <c r="C14" s="84">
        <f>C11/J5</f>
        <v>0.32896890343698854</v>
      </c>
      <c r="D14" s="84">
        <f>C14*(1+$H$3)/(1+$J$7)</f>
        <v>0.32896890343698854</v>
      </c>
      <c r="E14" s="84">
        <f>D14*(1+$I$3)/(1+$J$7)</f>
        <v>0.32896890343698854</v>
      </c>
      <c r="F14" s="84">
        <f>E14*(1+$J$3)/(1+$J$7)</f>
        <v>0.32896890343698854</v>
      </c>
      <c r="G14" s="84">
        <f>F14*(1+$K$3)/(1+$J$7)</f>
        <v>0.32896890343698854</v>
      </c>
      <c r="H14" s="84">
        <f>G14*(1+$L$3)/(1+$J$7)</f>
        <v>0.32896890343698854</v>
      </c>
      <c r="I14" s="98">
        <f>H14*(1+$C$8)/(1+$J$8)</f>
        <v>0.3350609201673031</v>
      </c>
      <c r="J14" s="98">
        <f>I14*(1+$C$8)/(1+$J$8)</f>
        <v>0.34126575202225318</v>
      </c>
      <c r="K14" s="98">
        <f>J14*(1+$C$8)/(1+$J$8)</f>
        <v>0.34758548817081342</v>
      </c>
      <c r="L14" s="98">
        <f>K14*(1+$C$8)/(1+$J$8)</f>
        <v>0.35402225647027291</v>
      </c>
      <c r="M14" s="98">
        <f>L14*(1+$C$8)/(1+$J$8)</f>
        <v>0.36057822418268537</v>
      </c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3933.224175973482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199127.43297464759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6891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5424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200594.43297464759</v>
      </c>
      <c r="D20" s="90"/>
      <c r="E20" s="471" t="s">
        <v>22</v>
      </c>
      <c r="F20" s="474">
        <f>C23</f>
        <v>1883.62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51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3933.224175973482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139">
        <v>1883.62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1.0881197778604401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9" spans="1:13">
      <c r="B29" s="475" t="s">
        <v>68</v>
      </c>
      <c r="C29" s="454"/>
      <c r="D29" s="454"/>
    </row>
    <row r="30" spans="1:13">
      <c r="B30" s="454"/>
      <c r="C30" s="454"/>
      <c r="D30" s="454"/>
    </row>
    <row r="31" spans="1:13">
      <c r="B31" s="454"/>
      <c r="C31" s="454"/>
      <c r="D31" s="454"/>
    </row>
    <row r="32" spans="1:13">
      <c r="B32" s="454"/>
      <c r="C32" s="454"/>
      <c r="D32" s="454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2"/>
  <sheetViews>
    <sheetView zoomScale="125" workbookViewId="0">
      <selection activeCell="G33" sqref="G33"/>
    </sheetView>
  </sheetViews>
  <sheetFormatPr baseColWidth="10" defaultColWidth="9" defaultRowHeight="14"/>
  <cols>
    <col min="2" max="2" width="20.1640625" customWidth="1"/>
    <col min="3" max="3" width="18.1640625" customWidth="1"/>
    <col min="4" max="12" width="10.1640625"/>
    <col min="13" max="13" width="12.6640625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69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0.4</v>
      </c>
      <c r="I3" s="66">
        <v>0.3</v>
      </c>
      <c r="J3" s="66">
        <v>0.7</v>
      </c>
      <c r="K3" s="66">
        <v>0.7</v>
      </c>
      <c r="L3" s="66">
        <v>0.2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30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95" t="s">
        <v>31</v>
      </c>
      <c r="J5" s="81">
        <v>1760</v>
      </c>
      <c r="K5" s="38"/>
      <c r="L5" s="38"/>
      <c r="M5" s="38"/>
    </row>
    <row r="6" spans="1:13" ht="34">
      <c r="A6" s="2"/>
      <c r="B6" s="7" t="s">
        <v>5</v>
      </c>
      <c r="C6" s="67">
        <v>0.08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30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83" t="s">
        <v>61</v>
      </c>
      <c r="J7" s="96">
        <v>0.3</v>
      </c>
      <c r="K7" s="38"/>
      <c r="L7" s="38"/>
      <c r="M7" s="38"/>
    </row>
    <row r="8" spans="1:13" ht="29">
      <c r="A8" s="2"/>
      <c r="B8" s="24" t="s">
        <v>11</v>
      </c>
      <c r="C8" s="76">
        <v>0.1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83" t="s">
        <v>62</v>
      </c>
      <c r="J8" s="96">
        <v>0.08</v>
      </c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125</v>
      </c>
      <c r="D11" s="82">
        <f>C11*(1+H3)</f>
        <v>175</v>
      </c>
      <c r="E11" s="82">
        <f>D11*(1+$I$3)</f>
        <v>227.5</v>
      </c>
      <c r="F11" s="82">
        <f>E11*(1+$J$3)</f>
        <v>386.75</v>
      </c>
      <c r="G11" s="82">
        <f>F11*(1+$K$3)</f>
        <v>657.47500000000002</v>
      </c>
      <c r="H11" s="82">
        <f>G11*(1+$L$3)</f>
        <v>788.97</v>
      </c>
      <c r="I11" s="82">
        <f>H11*(1+$C$8)</f>
        <v>867.86700000000008</v>
      </c>
      <c r="J11" s="82">
        <f>I11*(1+$C$8)</f>
        <v>954.65370000000019</v>
      </c>
      <c r="K11" s="82">
        <f>J11*(1+$C$8)</f>
        <v>1050.1190700000002</v>
      </c>
      <c r="L11" s="82">
        <f>K11*(1+$C$8)</f>
        <v>1155.1309770000003</v>
      </c>
      <c r="M11" s="82">
        <f>L11*(1+$C$8)</f>
        <v>1270.6440747000004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23680.185028500004</v>
      </c>
    </row>
    <row r="13" spans="1:13" ht="19">
      <c r="A13" s="2"/>
      <c r="B13" s="35" t="s">
        <v>15</v>
      </c>
      <c r="C13" s="83"/>
      <c r="D13" s="82">
        <f t="shared" ref="D13:L13" si="0">D11</f>
        <v>175</v>
      </c>
      <c r="E13" s="82">
        <f t="shared" si="0"/>
        <v>227.5</v>
      </c>
      <c r="F13" s="82">
        <f t="shared" si="0"/>
        <v>386.75</v>
      </c>
      <c r="G13" s="82">
        <f t="shared" si="0"/>
        <v>657.47500000000002</v>
      </c>
      <c r="H13" s="82">
        <f t="shared" si="0"/>
        <v>788.97</v>
      </c>
      <c r="I13" s="82">
        <f t="shared" si="0"/>
        <v>867.86700000000008</v>
      </c>
      <c r="J13" s="82">
        <f t="shared" si="0"/>
        <v>954.65370000000019</v>
      </c>
      <c r="K13" s="82">
        <f t="shared" si="0"/>
        <v>1050.1190700000002</v>
      </c>
      <c r="L13" s="82">
        <f t="shared" si="0"/>
        <v>1155.1309770000003</v>
      </c>
      <c r="M13" s="97">
        <f>M11+M12</f>
        <v>24950.829103200005</v>
      </c>
    </row>
    <row r="14" spans="1:13">
      <c r="A14" s="2"/>
      <c r="B14" s="36" t="s">
        <v>35</v>
      </c>
      <c r="C14" s="84">
        <f>C11/J5</f>
        <v>7.1022727272727279E-2</v>
      </c>
      <c r="D14" s="84">
        <f>C14*(1+$H$3)/(1+$J$7)</f>
        <v>7.6486013986013984E-2</v>
      </c>
      <c r="E14" s="84">
        <f>D14*(1+$I$3)/(1+$J$7)</f>
        <v>7.6486013986013984E-2</v>
      </c>
      <c r="F14" s="84">
        <f>E14*(1+$J$3)/(1+$J$7)</f>
        <v>0.10002017213555675</v>
      </c>
      <c r="G14" s="84">
        <f>F14*(1+$K$3)/(1+$J$7)</f>
        <v>0.13079560971572807</v>
      </c>
      <c r="H14" s="84">
        <f>G14*(1+$L$3)/(1+$J$7)</f>
        <v>0.12073440896836435</v>
      </c>
      <c r="I14" s="98">
        <f>H14*(1+$C$8)/(1+$J$8)</f>
        <v>0.1229702313566674</v>
      </c>
      <c r="J14" s="98">
        <f>I14*(1+$C$8)/(1+$J$8)</f>
        <v>0.12524745786327235</v>
      </c>
      <c r="K14" s="98">
        <f>J14*(1+$C$8)/(1+$J$8)</f>
        <v>0.12756685523111075</v>
      </c>
      <c r="L14" s="98">
        <f>K14*(1+$C$8)/(1+$J$8)</f>
        <v>0.12992920440205727</v>
      </c>
      <c r="M14" s="98">
        <f>L14*(1+$C$8)/(1+$J$8)</f>
        <v>0.13233530077987316</v>
      </c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230.69740427087251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15490.515703231948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2073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1184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16379.515703231948</v>
      </c>
      <c r="D20" s="90"/>
      <c r="E20" s="471" t="s">
        <v>22</v>
      </c>
      <c r="F20" s="474">
        <f>C23</f>
        <v>236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71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230.69740427087251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236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-2.2468625970879192E-2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SELL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9" spans="1:13">
      <c r="B29" s="475" t="s">
        <v>68</v>
      </c>
      <c r="C29" s="454"/>
      <c r="D29" s="454"/>
    </row>
    <row r="30" spans="1:13">
      <c r="B30" s="454"/>
      <c r="C30" s="454"/>
      <c r="D30" s="454"/>
    </row>
    <row r="31" spans="1:13">
      <c r="B31" s="454"/>
      <c r="C31" s="454"/>
      <c r="D31" s="454"/>
    </row>
    <row r="32" spans="1:13">
      <c r="B32" s="454"/>
      <c r="C32" s="454"/>
      <c r="D32" s="454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2"/>
  <sheetViews>
    <sheetView topLeftCell="A2" zoomScale="125" workbookViewId="0">
      <selection activeCell="J19" sqref="J19"/>
    </sheetView>
  </sheetViews>
  <sheetFormatPr baseColWidth="10" defaultColWidth="9" defaultRowHeight="14"/>
  <cols>
    <col min="2" max="2" width="20.1640625" customWidth="1"/>
    <col min="3" max="3" width="18.1640625" customWidth="1"/>
    <col min="4" max="12" width="10.1640625"/>
    <col min="13" max="13" width="12.6640625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70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0.3</v>
      </c>
      <c r="I3" s="66">
        <v>0.3</v>
      </c>
      <c r="J3" s="66">
        <v>0.2</v>
      </c>
      <c r="K3" s="66">
        <v>0.2</v>
      </c>
      <c r="L3" s="66">
        <v>0.2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30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95" t="s">
        <v>31</v>
      </c>
      <c r="J5" s="81">
        <v>3056</v>
      </c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30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83" t="s">
        <v>61</v>
      </c>
      <c r="J7" s="96">
        <v>0.25</v>
      </c>
      <c r="K7" s="38"/>
      <c r="L7" s="38"/>
      <c r="M7" s="38"/>
    </row>
    <row r="8" spans="1:13" ht="29">
      <c r="A8" s="2"/>
      <c r="B8" s="24" t="s">
        <v>11</v>
      </c>
      <c r="C8" s="76">
        <v>0.2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83" t="s">
        <v>62</v>
      </c>
      <c r="J8" s="96">
        <v>0.2</v>
      </c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 ht="15" thickBot="1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8" thickBot="1">
      <c r="A11" s="2"/>
      <c r="B11" s="7" t="s">
        <v>13</v>
      </c>
      <c r="C11" s="81">
        <v>1085</v>
      </c>
      <c r="D11" s="82">
        <f>C11*(1+H3)</f>
        <v>1410.5</v>
      </c>
      <c r="E11" s="82">
        <f>D11*(1+$I$3)</f>
        <v>1833.65</v>
      </c>
      <c r="F11" s="82">
        <f>E11*(1+$J$3)</f>
        <v>2200.38</v>
      </c>
      <c r="G11" s="82">
        <f>F11*(1+$K$3)</f>
        <v>2640.4560000000001</v>
      </c>
      <c r="H11" s="82">
        <f>G11*(1+$L$3)</f>
        <v>3168.5472</v>
      </c>
      <c r="I11" s="82">
        <f>H11*(1+$C$8)</f>
        <v>3802.2566399999996</v>
      </c>
      <c r="J11" s="82">
        <f>I11*(1+$C$8)</f>
        <v>4562.7079679999997</v>
      </c>
      <c r="K11" s="82">
        <f>J11*(1+$C$8)</f>
        <v>5475.2495615999997</v>
      </c>
      <c r="L11" s="82">
        <f>K11*(1+$C$8)</f>
        <v>6570.2994739199994</v>
      </c>
      <c r="M11" s="82">
        <f>L11*(1+$C$8)</f>
        <v>7884.3593687039993</v>
      </c>
    </row>
    <row r="12" spans="1:13" ht="18" thickBot="1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107752.91137228796</v>
      </c>
    </row>
    <row r="13" spans="1:13" ht="20" thickBot="1">
      <c r="A13" s="2"/>
      <c r="B13" s="35" t="s">
        <v>15</v>
      </c>
      <c r="C13" s="83"/>
      <c r="D13" s="82">
        <f t="shared" ref="D13:L13" si="0">D11</f>
        <v>1410.5</v>
      </c>
      <c r="E13" s="82">
        <f t="shared" si="0"/>
        <v>1833.65</v>
      </c>
      <c r="F13" s="82">
        <f t="shared" si="0"/>
        <v>2200.38</v>
      </c>
      <c r="G13" s="82">
        <f t="shared" si="0"/>
        <v>2640.4560000000001</v>
      </c>
      <c r="H13" s="82">
        <f t="shared" si="0"/>
        <v>3168.5472</v>
      </c>
      <c r="I13" s="82">
        <f t="shared" si="0"/>
        <v>3802.2566399999996</v>
      </c>
      <c r="J13" s="82">
        <f t="shared" si="0"/>
        <v>4562.7079679999997</v>
      </c>
      <c r="K13" s="82">
        <f t="shared" si="0"/>
        <v>5475.2495615999997</v>
      </c>
      <c r="L13" s="82">
        <f t="shared" si="0"/>
        <v>6570.2994739199994</v>
      </c>
      <c r="M13" s="97">
        <f>M11+M12</f>
        <v>115637.27074099195</v>
      </c>
    </row>
    <row r="14" spans="1:13">
      <c r="A14" s="2"/>
      <c r="B14" s="36" t="s">
        <v>35</v>
      </c>
      <c r="C14" s="84">
        <f>C11/J5</f>
        <v>0.35503926701570682</v>
      </c>
      <c r="D14" s="84">
        <f>C14*(1+$H$3)/(1+$J$7)</f>
        <v>0.36924083769633509</v>
      </c>
      <c r="E14" s="84">
        <f>D14*(1+$I$3)/(1+$J$7)</f>
        <v>0.38401047120418852</v>
      </c>
      <c r="F14" s="84">
        <f>E14*(1+$J$3)/(1+$J$7)</f>
        <v>0.36865005235602094</v>
      </c>
      <c r="G14" s="84">
        <f>F14*(1+$K$3)/(1+$J$7)</f>
        <v>0.35390405026178012</v>
      </c>
      <c r="H14" s="84">
        <f>G14*(1+$L$3)/(1+$J$7)</f>
        <v>0.33974788825130892</v>
      </c>
      <c r="I14" s="98">
        <f>H14*(1+$C$8)/(1+$J$8)</f>
        <v>0.33974788825130892</v>
      </c>
      <c r="J14" s="98">
        <f>I14*(1+$C$8)/(1+$J$8)</f>
        <v>0.33974788825130892</v>
      </c>
      <c r="K14" s="98">
        <f>J14*(1+$C$8)/(1+$J$8)</f>
        <v>0.33974788825130892</v>
      </c>
      <c r="L14" s="98">
        <f>K14*(1+$C$8)/(1+$J$8)</f>
        <v>0.33974788825130892</v>
      </c>
      <c r="M14" s="98">
        <f>L14*(1+$C$8)/(1+$J$8)</f>
        <v>0.33974788825130892</v>
      </c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267.68611197321377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62633.281321464157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3475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792.87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65315.411321464162</v>
      </c>
      <c r="D20" s="90"/>
      <c r="E20" s="471" t="s">
        <v>22</v>
      </c>
      <c r="F20" s="474">
        <f>C23</f>
        <v>256.16000000000003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244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267.68611197321377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256.16000000000003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4.4995752550022423E-2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9" spans="1:13">
      <c r="B29" s="475" t="s">
        <v>68</v>
      </c>
      <c r="C29" s="454"/>
      <c r="D29" s="454"/>
    </row>
    <row r="30" spans="1:13">
      <c r="B30" s="454"/>
      <c r="C30" s="454"/>
      <c r="D30" s="454"/>
    </row>
    <row r="31" spans="1:13">
      <c r="B31" s="454"/>
      <c r="C31" s="454"/>
      <c r="D31" s="454"/>
    </row>
    <row r="32" spans="1:13">
      <c r="B32" s="454"/>
      <c r="C32" s="454"/>
      <c r="D32" s="454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32"/>
  <sheetViews>
    <sheetView zoomScale="150" workbookViewId="0">
      <selection activeCell="F31" sqref="F31"/>
    </sheetView>
  </sheetViews>
  <sheetFormatPr baseColWidth="10" defaultColWidth="9" defaultRowHeight="14"/>
  <cols>
    <col min="2" max="2" width="20.1640625" customWidth="1"/>
    <col min="3" max="3" width="18.1640625" customWidth="1"/>
    <col min="4" max="12" width="10.1640625"/>
    <col min="13" max="13" width="12.6640625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71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0.5</v>
      </c>
      <c r="I3" s="66">
        <v>0.3</v>
      </c>
      <c r="J3" s="66">
        <v>0.2</v>
      </c>
      <c r="K3" s="66">
        <v>0.2</v>
      </c>
      <c r="L3" s="66">
        <v>0.2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30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95" t="s">
        <v>31</v>
      </c>
      <c r="J5" s="81">
        <v>2334</v>
      </c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30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83" t="s">
        <v>61</v>
      </c>
      <c r="J7" s="96">
        <v>0.25</v>
      </c>
      <c r="K7" s="38"/>
      <c r="L7" s="38"/>
      <c r="M7" s="38"/>
    </row>
    <row r="8" spans="1:13" ht="29">
      <c r="A8" s="2"/>
      <c r="B8" s="24" t="s">
        <v>11</v>
      </c>
      <c r="C8" s="76">
        <v>0.3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83" t="s">
        <v>62</v>
      </c>
      <c r="J8" s="96">
        <v>0.2</v>
      </c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641.36</v>
      </c>
      <c r="D11" s="82">
        <f>C11*(1+H3)</f>
        <v>962.04</v>
      </c>
      <c r="E11" s="82">
        <f>D11*(1+$I$3)</f>
        <v>1250.652</v>
      </c>
      <c r="F11" s="82">
        <f>E11*(1+$J$3)</f>
        <v>1500.7824000000001</v>
      </c>
      <c r="G11" s="82">
        <f>F11*(1+$K$3)</f>
        <v>1800.9388799999999</v>
      </c>
      <c r="H11" s="82">
        <f>G11*(1+$L$3)</f>
        <v>2161.1266559999999</v>
      </c>
      <c r="I11" s="82">
        <f>H11*(1+$C$8)</f>
        <v>2809.4646527999998</v>
      </c>
      <c r="J11" s="82">
        <f>I11*(1+$C$8)</f>
        <v>3652.30404864</v>
      </c>
      <c r="K11" s="82">
        <f>J11*(1+$C$8)</f>
        <v>4747.9952632320001</v>
      </c>
      <c r="L11" s="82">
        <f>K11*(1+$C$8)</f>
        <v>6172.3938422015999</v>
      </c>
      <c r="M11" s="82">
        <f>L11*(1+$C$8)</f>
        <v>8024.1119948620799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109662.86392978173</v>
      </c>
    </row>
    <row r="13" spans="1:13" ht="19">
      <c r="A13" s="2"/>
      <c r="B13" s="35" t="s">
        <v>15</v>
      </c>
      <c r="C13" s="83"/>
      <c r="D13" s="82">
        <f t="shared" ref="D13:L13" si="0">D11</f>
        <v>962.04</v>
      </c>
      <c r="E13" s="82">
        <f t="shared" si="0"/>
        <v>1250.652</v>
      </c>
      <c r="F13" s="82">
        <f t="shared" si="0"/>
        <v>1500.7824000000001</v>
      </c>
      <c r="G13" s="82">
        <f t="shared" si="0"/>
        <v>1800.9388799999999</v>
      </c>
      <c r="H13" s="82">
        <f t="shared" si="0"/>
        <v>2161.1266559999999</v>
      </c>
      <c r="I13" s="82">
        <f t="shared" si="0"/>
        <v>2809.4646527999998</v>
      </c>
      <c r="J13" s="82">
        <f t="shared" si="0"/>
        <v>3652.30404864</v>
      </c>
      <c r="K13" s="82">
        <f t="shared" si="0"/>
        <v>4747.9952632320001</v>
      </c>
      <c r="L13" s="82">
        <f t="shared" si="0"/>
        <v>6172.3938422015999</v>
      </c>
      <c r="M13" s="97">
        <f>M11+M12</f>
        <v>117686.9759246438</v>
      </c>
    </row>
    <row r="14" spans="1:13">
      <c r="A14" s="2"/>
      <c r="B14" s="36" t="s">
        <v>35</v>
      </c>
      <c r="C14" s="84">
        <f>C11/J5</f>
        <v>0.27479005998286204</v>
      </c>
      <c r="D14" s="84">
        <f>C14*(1+$H$3)/(1+$J$7)</f>
        <v>0.32974807197943445</v>
      </c>
      <c r="E14" s="84">
        <f>D14*(1+$I$3)/(1+$J$7)</f>
        <v>0.34293799485861187</v>
      </c>
      <c r="F14" s="84">
        <f>E14*(1+$J$3)/(1+$J$7)</f>
        <v>0.32922047506426738</v>
      </c>
      <c r="G14" s="84">
        <f>F14*(1+$K$3)/(1+$J$7)</f>
        <v>0.31605165606169672</v>
      </c>
      <c r="H14" s="84">
        <f>G14*(1+$L$3)/(1+$J$7)</f>
        <v>0.30340958981922883</v>
      </c>
      <c r="I14" s="98">
        <f>H14*(1+$C$8)/(1+$J$8)</f>
        <v>0.3286937223041646</v>
      </c>
      <c r="J14" s="98">
        <f>I14*(1+$C$8)/(1+$J$8)</f>
        <v>0.35608486582951171</v>
      </c>
      <c r="K14" s="98">
        <f>J14*(1+$C$8)/(1+$J$8)</f>
        <v>0.3857586046486377</v>
      </c>
      <c r="L14" s="98">
        <f>K14*(1+$C$8)/(1+$J$8)</f>
        <v>0.41790515503602421</v>
      </c>
      <c r="M14" s="98">
        <f>L14*(1+$C$8)/(1+$J$8)</f>
        <v>0.4527305846223596</v>
      </c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26.218695358198126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59273.868859675502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3868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217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62924.868859675502</v>
      </c>
      <c r="D20" s="90"/>
      <c r="E20" s="471" t="s">
        <v>22</v>
      </c>
      <c r="F20" s="474">
        <f>C23</f>
        <v>21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2400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26.218695358198126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21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0.24850930277133931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9" spans="1:13">
      <c r="B29" s="475" t="s">
        <v>68</v>
      </c>
      <c r="C29" s="454"/>
      <c r="D29" s="454"/>
    </row>
    <row r="30" spans="1:13">
      <c r="B30" s="454"/>
      <c r="C30" s="454"/>
      <c r="D30" s="454"/>
    </row>
    <row r="31" spans="1:13">
      <c r="B31" s="454"/>
      <c r="C31" s="454"/>
      <c r="D31" s="454"/>
    </row>
    <row r="32" spans="1:13">
      <c r="B32" s="454"/>
      <c r="C32" s="454"/>
      <c r="D32" s="454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2"/>
  <sheetViews>
    <sheetView topLeftCell="A6" zoomScale="125" workbookViewId="0">
      <selection activeCell="F23" sqref="F23"/>
    </sheetView>
  </sheetViews>
  <sheetFormatPr baseColWidth="10" defaultColWidth="9" defaultRowHeight="14"/>
  <cols>
    <col min="2" max="2" width="20.1640625" customWidth="1"/>
    <col min="3" max="3" width="18.1640625" customWidth="1"/>
    <col min="4" max="12" width="10.1640625"/>
    <col min="13" max="13" width="12.6640625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">
      <c r="A2" s="2"/>
      <c r="B2" s="4" t="s">
        <v>0</v>
      </c>
      <c r="C2" s="62" t="s">
        <v>72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spans="1:13" ht="17">
      <c r="A3" s="2"/>
      <c r="B3" s="7" t="s">
        <v>1</v>
      </c>
      <c r="C3" s="8">
        <v>0.2</v>
      </c>
      <c r="D3" s="38"/>
      <c r="E3" s="63" t="s">
        <v>2</v>
      </c>
      <c r="F3" s="64"/>
      <c r="G3" s="65"/>
      <c r="H3" s="66">
        <v>0.3</v>
      </c>
      <c r="I3" s="66">
        <v>0.25</v>
      </c>
      <c r="J3" s="66">
        <v>0.2</v>
      </c>
      <c r="K3" s="66">
        <v>0.2</v>
      </c>
      <c r="L3" s="66">
        <v>0.2</v>
      </c>
      <c r="M3" s="38"/>
    </row>
    <row r="4" spans="1:13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</row>
    <row r="5" spans="1:13" ht="30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95" t="s">
        <v>31</v>
      </c>
      <c r="J5" s="81">
        <v>22883</v>
      </c>
      <c r="K5" s="38"/>
      <c r="L5" s="38"/>
      <c r="M5" s="38"/>
    </row>
    <row r="6" spans="1:13" ht="34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</row>
    <row r="7" spans="1:13" ht="30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83" t="s">
        <v>61</v>
      </c>
      <c r="J7" s="96">
        <v>0.25</v>
      </c>
      <c r="K7" s="38"/>
      <c r="L7" s="38"/>
      <c r="M7" s="38"/>
    </row>
    <row r="8" spans="1:13" ht="29">
      <c r="A8" s="2"/>
      <c r="B8" s="24" t="s">
        <v>11</v>
      </c>
      <c r="C8" s="76">
        <v>0.1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83" t="s">
        <v>62</v>
      </c>
      <c r="J8" s="96">
        <v>0.1</v>
      </c>
      <c r="K8" s="38"/>
      <c r="L8" s="38" t="s">
        <v>34</v>
      </c>
      <c r="M8" s="38"/>
    </row>
    <row r="9" spans="1:13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</row>
    <row r="10" spans="1:13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</row>
    <row r="11" spans="1:13" ht="17">
      <c r="A11" s="2"/>
      <c r="B11" s="7" t="s">
        <v>13</v>
      </c>
      <c r="C11" s="81">
        <v>800</v>
      </c>
      <c r="D11" s="82">
        <f>C11*(1+H3)</f>
        <v>1040</v>
      </c>
      <c r="E11" s="82">
        <f>D11*(1+$I$3)</f>
        <v>1300</v>
      </c>
      <c r="F11" s="82">
        <f>E11*(1+$J$3)</f>
        <v>1560</v>
      </c>
      <c r="G11" s="82">
        <f>F11*(1+$K$3)</f>
        <v>1872</v>
      </c>
      <c r="H11" s="82">
        <f>G11*(1+$L$3)</f>
        <v>2246.4</v>
      </c>
      <c r="I11" s="82">
        <f>H11*(1+$C$8)</f>
        <v>2471.0400000000004</v>
      </c>
      <c r="J11" s="82">
        <f>I11*(1+$C$8)</f>
        <v>2718.1440000000007</v>
      </c>
      <c r="K11" s="82">
        <f>J11*(1+$C$8)</f>
        <v>2989.9584000000009</v>
      </c>
      <c r="L11" s="82">
        <f>K11*(1+$C$8)</f>
        <v>3288.9542400000014</v>
      </c>
      <c r="M11" s="82">
        <f>L11*(1+$C$8)</f>
        <v>3617.8496640000017</v>
      </c>
    </row>
    <row r="12" spans="1:13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49443.945408000007</v>
      </c>
    </row>
    <row r="13" spans="1:13" ht="19">
      <c r="A13" s="2"/>
      <c r="B13" s="35" t="s">
        <v>15</v>
      </c>
      <c r="C13" s="83"/>
      <c r="D13" s="82">
        <f t="shared" ref="D13:L13" si="0">D11</f>
        <v>1040</v>
      </c>
      <c r="E13" s="82">
        <f t="shared" si="0"/>
        <v>1300</v>
      </c>
      <c r="F13" s="82">
        <f t="shared" si="0"/>
        <v>1560</v>
      </c>
      <c r="G13" s="82">
        <f t="shared" si="0"/>
        <v>1872</v>
      </c>
      <c r="H13" s="82">
        <f t="shared" si="0"/>
        <v>2246.4</v>
      </c>
      <c r="I13" s="82">
        <f t="shared" si="0"/>
        <v>2471.0400000000004</v>
      </c>
      <c r="J13" s="82">
        <f t="shared" si="0"/>
        <v>2718.1440000000007</v>
      </c>
      <c r="K13" s="82">
        <f t="shared" si="0"/>
        <v>2989.9584000000009</v>
      </c>
      <c r="L13" s="82">
        <f t="shared" si="0"/>
        <v>3288.9542400000014</v>
      </c>
      <c r="M13" s="97">
        <f>M11+M12</f>
        <v>53061.795072000008</v>
      </c>
    </row>
    <row r="14" spans="1:13">
      <c r="A14" s="2"/>
      <c r="B14" s="36" t="s">
        <v>35</v>
      </c>
      <c r="C14" s="84">
        <f>C11/J5</f>
        <v>3.4960450989817766E-2</v>
      </c>
      <c r="D14" s="84">
        <f>C14*(1+$H$3)/(1+$J$7)</f>
        <v>3.6358869029410476E-2</v>
      </c>
      <c r="E14" s="84">
        <f>D14*(1+$I$3)/(1+$J$7)</f>
        <v>3.6358869029410476E-2</v>
      </c>
      <c r="F14" s="84">
        <f>E14*(1+$J$3)/(1+$J$7)</f>
        <v>3.4904514268234058E-2</v>
      </c>
      <c r="G14" s="84">
        <f>F14*(1+$K$3)/(1+$J$7)</f>
        <v>3.3508333697504694E-2</v>
      </c>
      <c r="H14" s="84">
        <f>G14*(1+$L$3)/(1+$J$7)</f>
        <v>3.21680003496045E-2</v>
      </c>
      <c r="I14" s="98">
        <f>H14*(1+$C$8)/(1+$J$8)</f>
        <v>3.21680003496045E-2</v>
      </c>
      <c r="J14" s="98">
        <f>I14*(1+$C$8)/(1+$J$8)</f>
        <v>3.21680003496045E-2</v>
      </c>
      <c r="K14" s="98">
        <f>J14*(1+$C$8)/(1+$J$8)</f>
        <v>3.21680003496045E-2</v>
      </c>
      <c r="L14" s="98">
        <f>K14*(1+$C$8)/(1+$J$8)</f>
        <v>3.21680003496045E-2</v>
      </c>
      <c r="M14" s="98">
        <f>L14*(1+$C$8)/(1+$J$8)</f>
        <v>3.21680003496045E-2</v>
      </c>
    </row>
    <row r="15" spans="1:13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</row>
    <row r="16" spans="1:13">
      <c r="A16" s="2"/>
      <c r="B16" s="456" t="s">
        <v>16</v>
      </c>
      <c r="C16" s="456"/>
      <c r="D16" s="86"/>
      <c r="E16" s="469" t="s">
        <v>17</v>
      </c>
      <c r="F16" s="470">
        <f>C22</f>
        <v>56.449441607988526</v>
      </c>
      <c r="G16" s="470"/>
      <c r="H16" s="38"/>
      <c r="I16" s="38"/>
      <c r="J16" s="38"/>
      <c r="K16" s="38"/>
      <c r="L16" s="38"/>
      <c r="M16" s="38"/>
    </row>
    <row r="17" spans="1:13" ht="17">
      <c r="A17" s="2"/>
      <c r="B17" s="41" t="s">
        <v>18</v>
      </c>
      <c r="C17" s="87">
        <f>NPV(C6,D13:M13)</f>
        <v>31902.294304288687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</row>
    <row r="18" spans="1:13" ht="17">
      <c r="A18" s="2"/>
      <c r="B18" s="43" t="s">
        <v>19</v>
      </c>
      <c r="C18" s="88">
        <v>9133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</row>
    <row r="19" spans="1:13" ht="17">
      <c r="A19" s="2"/>
      <c r="B19" s="43" t="s">
        <v>20</v>
      </c>
      <c r="C19" s="81">
        <v>5077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</row>
    <row r="20" spans="1:13" ht="17">
      <c r="A20" s="2"/>
      <c r="B20" s="46" t="s">
        <v>21</v>
      </c>
      <c r="C20" s="29">
        <f>C17+C18-C19</f>
        <v>35958.294304288691</v>
      </c>
      <c r="D20" s="90"/>
      <c r="E20" s="471" t="s">
        <v>22</v>
      </c>
      <c r="F20" s="474">
        <f>C23</f>
        <v>63</v>
      </c>
      <c r="G20" s="474"/>
      <c r="H20" s="38"/>
      <c r="I20" s="38"/>
      <c r="J20" s="38"/>
      <c r="K20" s="38"/>
      <c r="L20" s="38"/>
      <c r="M20" s="38"/>
    </row>
    <row r="21" spans="1:13" ht="17">
      <c r="A21" s="2"/>
      <c r="B21" s="48" t="s">
        <v>23</v>
      </c>
      <c r="C21" s="91">
        <v>637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</row>
    <row r="22" spans="1:13" ht="17">
      <c r="A22" s="50"/>
      <c r="B22" s="51" t="s">
        <v>24</v>
      </c>
      <c r="C22" s="92">
        <f>C20/C21</f>
        <v>56.449441607988526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</row>
    <row r="23" spans="1:13" ht="17">
      <c r="A23" s="2"/>
      <c r="B23" s="43" t="s">
        <v>25</v>
      </c>
      <c r="C23" s="93">
        <v>63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</row>
    <row r="24" spans="1:13" ht="19">
      <c r="A24" s="2"/>
      <c r="B24" s="54" t="s">
        <v>26</v>
      </c>
      <c r="C24" s="94">
        <f>(C22-C23)/C23</f>
        <v>-0.10397711733351547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</row>
    <row r="25" spans="1:13" ht="17">
      <c r="A25" s="2"/>
      <c r="B25" s="56" t="s">
        <v>27</v>
      </c>
      <c r="C25" s="92" t="str">
        <f>IF(C24&gt;0,"BUY","SELL")</f>
        <v>SELL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</row>
    <row r="26" spans="1:13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9" spans="1:13">
      <c r="B29" s="475" t="s">
        <v>68</v>
      </c>
      <c r="C29" s="454"/>
      <c r="D29" s="454"/>
    </row>
    <row r="30" spans="1:13">
      <c r="B30" s="454"/>
      <c r="C30" s="454"/>
      <c r="D30" s="454"/>
    </row>
    <row r="31" spans="1:13">
      <c r="B31" s="454"/>
      <c r="C31" s="454"/>
      <c r="D31" s="454"/>
    </row>
    <row r="32" spans="1:13">
      <c r="B32" s="454"/>
      <c r="C32" s="454"/>
      <c r="D32" s="454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2"/>
  <sheetViews>
    <sheetView workbookViewId="0">
      <selection activeCell="M60" sqref="M59:M60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>
      <c r="A2" s="2"/>
      <c r="B2" s="4" t="s">
        <v>0</v>
      </c>
      <c r="C2" s="5" t="s">
        <v>73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0.08</v>
      </c>
      <c r="I3" s="12">
        <v>7.0000000000000007E-2</v>
      </c>
      <c r="J3" s="12">
        <v>0.06</v>
      </c>
      <c r="K3" s="12">
        <v>0.05</v>
      </c>
      <c r="L3" s="12">
        <v>0.05</v>
      </c>
      <c r="M3" s="6"/>
    </row>
    <row r="4" spans="1:13" ht="18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0.04</v>
      </c>
      <c r="I4" s="12">
        <v>0.04</v>
      </c>
      <c r="J4" s="12">
        <v>0.05</v>
      </c>
      <c r="K4" s="12">
        <v>0.05</v>
      </c>
      <c r="L4" s="12">
        <v>0.05</v>
      </c>
      <c r="M4" s="6"/>
    </row>
    <row r="5" spans="1:13" ht="17" customHeigh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381623</v>
      </c>
      <c r="K5" s="6"/>
      <c r="L5" s="6"/>
      <c r="M5" s="6"/>
    </row>
    <row r="6" spans="1:13" ht="34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7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>
      <c r="A8" s="2"/>
      <c r="B8" s="24" t="s">
        <v>11</v>
      </c>
      <c r="C8" s="25">
        <v>0.04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0.04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7">
      <c r="A11" s="2"/>
      <c r="B11" s="7" t="s">
        <v>13</v>
      </c>
      <c r="C11" s="32">
        <v>101919</v>
      </c>
      <c r="D11" s="33">
        <f>C11*(1+H3)</f>
        <v>110072.52</v>
      </c>
      <c r="E11" s="33">
        <f>D11*(1+$I$3)</f>
        <v>117777.59640000001</v>
      </c>
      <c r="F11" s="33">
        <f>E11*(1+$J$3)</f>
        <v>124844.25218400001</v>
      </c>
      <c r="G11" s="33">
        <f>F11*(1+$K$3)</f>
        <v>131086.46479320002</v>
      </c>
      <c r="H11" s="33">
        <f>G11*(1+$L$3)</f>
        <v>137640.78803286003</v>
      </c>
      <c r="I11" s="33">
        <f>H11*(1+$C$8)</f>
        <v>143146.41955417444</v>
      </c>
      <c r="J11" s="33">
        <f>I11*(1+$C$8)</f>
        <v>148872.27633634143</v>
      </c>
      <c r="K11" s="33">
        <f>J11*(1+$C$8)</f>
        <v>154827.1673897951</v>
      </c>
      <c r="L11" s="33">
        <f>K11*(1+$C$8)</f>
        <v>161020.2540853869</v>
      </c>
      <c r="M11" s="33">
        <f>L11*(1+$C$8)</f>
        <v>167461.06424880237</v>
      </c>
    </row>
    <row r="12" spans="1:13" ht="17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2288634.5447336319</v>
      </c>
    </row>
    <row r="13" spans="1:13" ht="19">
      <c r="A13" s="2"/>
      <c r="B13" s="35" t="s">
        <v>15</v>
      </c>
      <c r="C13" s="34"/>
      <c r="D13" s="33">
        <f t="shared" ref="D13:L13" si="0">D11</f>
        <v>110072.52</v>
      </c>
      <c r="E13" s="33">
        <f t="shared" si="0"/>
        <v>117777.59640000001</v>
      </c>
      <c r="F13" s="33">
        <f t="shared" si="0"/>
        <v>124844.25218400001</v>
      </c>
      <c r="G13" s="33">
        <f t="shared" si="0"/>
        <v>131086.46479320002</v>
      </c>
      <c r="H13" s="33">
        <f t="shared" si="0"/>
        <v>137640.78803286003</v>
      </c>
      <c r="I13" s="33">
        <f t="shared" si="0"/>
        <v>143146.41955417444</v>
      </c>
      <c r="J13" s="33">
        <f t="shared" si="0"/>
        <v>148872.27633634143</v>
      </c>
      <c r="K13" s="33">
        <f t="shared" si="0"/>
        <v>154827.1673897951</v>
      </c>
      <c r="L13" s="33">
        <f t="shared" si="0"/>
        <v>161020.2540853869</v>
      </c>
      <c r="M13" s="60">
        <f>M11+M12</f>
        <v>2456095.6089824345</v>
      </c>
    </row>
    <row r="14" spans="1:13">
      <c r="A14" s="2"/>
      <c r="B14" s="36" t="s">
        <v>35</v>
      </c>
      <c r="C14" s="37">
        <f>C11/J5</f>
        <v>0.26706723651352249</v>
      </c>
      <c r="D14" s="37">
        <f>C14*(1+$H$3)/(1+$H$4)</f>
        <v>0.27733905330250413</v>
      </c>
      <c r="E14" s="37">
        <f>D14*(1+$I$3)/(1+$I$4)</f>
        <v>0.28533921830161485</v>
      </c>
      <c r="F14" s="37">
        <f>E14*(1+$J$3)/(1+$J$4)</f>
        <v>0.28805673466639214</v>
      </c>
      <c r="G14" s="37">
        <f>F14*(1+$K$3)/(1+$K$4)</f>
        <v>0.28805673466639214</v>
      </c>
      <c r="H14" s="37">
        <f>G14*(1+$L$3)/(1+$L$4)</f>
        <v>0.28805673466639214</v>
      </c>
      <c r="I14" s="61">
        <f>H14*(1+$C$8)/(1+$J$8)</f>
        <v>0.28805673466639214</v>
      </c>
      <c r="J14" s="61">
        <f>I14*(1+$C$8)/(1+$J$8)</f>
        <v>0.28805673466639214</v>
      </c>
      <c r="K14" s="61">
        <f>J14*(1+$C$8)/(1+$J$8)</f>
        <v>0.28805673466639214</v>
      </c>
      <c r="L14" s="61">
        <f>K14*(1+$C$8)/(1+$J$8)</f>
        <v>0.28805673466639214</v>
      </c>
      <c r="M14" s="61">
        <f>L14*(1+$C$8)/(1+$J$8)</f>
        <v>0.28805673466639214</v>
      </c>
    </row>
    <row r="15" spans="1:13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40"/>
      <c r="E16" s="458" t="s">
        <v>17</v>
      </c>
      <c r="F16" s="459">
        <f>C22</f>
        <v>111.84405107884417</v>
      </c>
      <c r="G16" s="459"/>
      <c r="H16" s="6"/>
      <c r="I16" s="6"/>
      <c r="J16" s="6"/>
      <c r="K16" s="6"/>
      <c r="L16" s="6"/>
      <c r="M16" s="6"/>
    </row>
    <row r="17" spans="1:13" ht="17">
      <c r="A17" s="2"/>
      <c r="B17" s="41" t="s">
        <v>18</v>
      </c>
      <c r="C17" s="42">
        <f>NPV(C6,D13:M13)</f>
        <v>1710842.9797097628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7">
      <c r="A18" s="2"/>
      <c r="B18" s="43" t="s">
        <v>19</v>
      </c>
      <c r="C18" s="44">
        <v>162337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20</v>
      </c>
      <c r="C19" s="32">
        <v>104590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7">
      <c r="A20" s="2"/>
      <c r="B20" s="46" t="s">
        <v>21</v>
      </c>
      <c r="C20" s="31">
        <f>C17+C18-C19</f>
        <v>1768589.9797097628</v>
      </c>
      <c r="D20" s="47"/>
      <c r="E20" s="460" t="s">
        <v>22</v>
      </c>
      <c r="F20" s="461">
        <f>C23</f>
        <v>194.35</v>
      </c>
      <c r="G20" s="461"/>
      <c r="H20" s="6"/>
      <c r="I20" s="6"/>
      <c r="J20" s="6"/>
      <c r="K20" s="6"/>
      <c r="L20" s="6"/>
      <c r="M20" s="6"/>
    </row>
    <row r="21" spans="1:13" ht="17">
      <c r="A21" s="2"/>
      <c r="B21" s="48" t="s">
        <v>23</v>
      </c>
      <c r="C21" s="49">
        <v>15813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7">
      <c r="A22" s="50"/>
      <c r="B22" s="51" t="s">
        <v>24</v>
      </c>
      <c r="C22" s="52">
        <f>C20/C21</f>
        <v>111.84405107884417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">
      <c r="A23" s="2"/>
      <c r="B23" s="43" t="s">
        <v>25</v>
      </c>
      <c r="C23" s="53">
        <v>194.35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9">
      <c r="A24" s="2"/>
      <c r="B24" s="54" t="s">
        <v>26</v>
      </c>
      <c r="C24" s="55">
        <f>(C22-C23)/C23</f>
        <v>-0.42452250538284447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7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F13E5-0FA0-2849-95C4-2E20989DEC40}">
  <dimension ref="A1:J35"/>
  <sheetViews>
    <sheetView zoomScale="125" workbookViewId="0">
      <selection activeCell="C23" sqref="C23"/>
    </sheetView>
  </sheetViews>
  <sheetFormatPr baseColWidth="10" defaultColWidth="8.83203125" defaultRowHeight="14"/>
  <cols>
    <col min="1" max="1" width="41.33203125" style="385" customWidth="1"/>
    <col min="2" max="2" width="27" style="385" customWidth="1"/>
    <col min="3" max="3" width="33" style="388" customWidth="1"/>
    <col min="4" max="4" width="17.6640625" style="385" customWidth="1"/>
    <col min="5" max="5" width="21" style="385" customWidth="1"/>
    <col min="6" max="16384" width="8.83203125" style="385"/>
  </cols>
  <sheetData>
    <row r="1" spans="1:5" ht="15" thickBot="1">
      <c r="A1" s="386" t="s">
        <v>163</v>
      </c>
      <c r="B1" s="386" t="s">
        <v>164</v>
      </c>
      <c r="C1" s="387" t="s">
        <v>165</v>
      </c>
    </row>
    <row r="2" spans="1:5" ht="18" thickBot="1">
      <c r="A2" s="34" t="s">
        <v>191</v>
      </c>
      <c r="B2" s="193">
        <v>2025</v>
      </c>
      <c r="C2" s="102" t="s">
        <v>166</v>
      </c>
    </row>
    <row r="3" spans="1:5" ht="18" thickBot="1">
      <c r="A3" s="34" t="s">
        <v>192</v>
      </c>
      <c r="B3" s="163">
        <v>94280</v>
      </c>
      <c r="C3" s="102" t="s">
        <v>167</v>
      </c>
    </row>
    <row r="4" spans="1:5" ht="18" thickBot="1">
      <c r="A4" s="34" t="s">
        <v>193</v>
      </c>
      <c r="B4" s="159">
        <v>0.16</v>
      </c>
      <c r="C4" s="102" t="s">
        <v>168</v>
      </c>
    </row>
    <row r="5" spans="1:5" ht="18" thickBot="1">
      <c r="A5" s="34" t="s">
        <v>194</v>
      </c>
      <c r="B5" s="163">
        <v>5</v>
      </c>
      <c r="C5" s="102" t="s">
        <v>169</v>
      </c>
    </row>
    <row r="6" spans="1:5" ht="18" thickBot="1">
      <c r="A6" s="34" t="s">
        <v>195</v>
      </c>
      <c r="B6" s="159">
        <v>8.6999999999999994E-2</v>
      </c>
      <c r="C6" s="102" t="s">
        <v>170</v>
      </c>
    </row>
    <row r="7" spans="1:5" ht="18" thickBot="1">
      <c r="A7" s="34" t="s">
        <v>196</v>
      </c>
      <c r="B7" s="159">
        <v>0.66</v>
      </c>
      <c r="C7" s="102" t="s">
        <v>171</v>
      </c>
    </row>
    <row r="8" spans="1:5" ht="18" thickBot="1">
      <c r="A8" s="34" t="s">
        <v>197</v>
      </c>
      <c r="B8" s="163">
        <v>12</v>
      </c>
      <c r="C8" s="102" t="s">
        <v>172</v>
      </c>
    </row>
    <row r="9" spans="1:5" ht="18" thickBot="1">
      <c r="A9" s="34" t="s">
        <v>198</v>
      </c>
      <c r="B9" s="163">
        <v>2489</v>
      </c>
      <c r="C9" s="102" t="s">
        <v>173</v>
      </c>
    </row>
    <row r="10" spans="1:5" ht="18" thickBot="1">
      <c r="A10" s="34" t="s">
        <v>199</v>
      </c>
      <c r="B10" s="163">
        <v>2595</v>
      </c>
      <c r="C10" s="102" t="s">
        <v>175</v>
      </c>
    </row>
    <row r="12" spans="1:5" ht="15" thickBot="1"/>
    <row r="13" spans="1:5" ht="20" customHeight="1" thickBot="1">
      <c r="A13" s="34" t="s">
        <v>107</v>
      </c>
      <c r="B13" s="34" t="s">
        <v>96</v>
      </c>
      <c r="C13" s="34" t="s">
        <v>176</v>
      </c>
      <c r="D13" s="34" t="s">
        <v>177</v>
      </c>
      <c r="E13" s="34" t="s">
        <v>178</v>
      </c>
    </row>
    <row r="14" spans="1:5" ht="15" thickBot="1">
      <c r="A14" s="34">
        <f>B2+0</f>
        <v>2025</v>
      </c>
      <c r="B14" s="34">
        <f>B3</f>
        <v>94280</v>
      </c>
      <c r="C14" s="34">
        <f>B14*B7</f>
        <v>62224.800000000003</v>
      </c>
      <c r="D14" s="34">
        <f>1/(1+B6)^(A14-B2)</f>
        <v>1</v>
      </c>
      <c r="E14" s="34">
        <f t="shared" ref="E14:E19" si="0">C14*D14</f>
        <v>62224.800000000003</v>
      </c>
    </row>
    <row r="15" spans="1:5" ht="15" thickBot="1">
      <c r="A15" s="34">
        <f>B2+1</f>
        <v>2026</v>
      </c>
      <c r="B15" s="34">
        <f>B14*(1+B4)</f>
        <v>109364.79999999999</v>
      </c>
      <c r="C15" s="34">
        <f>B15*B7</f>
        <v>72180.767999999996</v>
      </c>
      <c r="D15" s="34">
        <f>1/(1+B6)^(A15-B2)</f>
        <v>0.91996320147194111</v>
      </c>
      <c r="E15" s="34">
        <f t="shared" si="0"/>
        <v>66403.650413983443</v>
      </c>
    </row>
    <row r="16" spans="1:5" ht="15" thickBot="1">
      <c r="A16" s="34">
        <f>B2+2</f>
        <v>2027</v>
      </c>
      <c r="B16" s="34">
        <f>B15*(1+B4)</f>
        <v>126863.16799999998</v>
      </c>
      <c r="C16" s="34">
        <f>B16*B7</f>
        <v>83729.690879999995</v>
      </c>
      <c r="D16" s="34">
        <f>1/(1+B6)^(A16-B2)</f>
        <v>0.84633229206250338</v>
      </c>
      <c r="E16" s="34">
        <f t="shared" si="0"/>
        <v>70863.14119615528</v>
      </c>
    </row>
    <row r="17" spans="1:10" ht="15" thickBot="1">
      <c r="A17" s="34">
        <f>B2+3</f>
        <v>2028</v>
      </c>
      <c r="B17" s="34">
        <f>B16*(1+B4)</f>
        <v>147161.27487999995</v>
      </c>
      <c r="C17" s="34">
        <f>B17*B7</f>
        <v>97126.44142079998</v>
      </c>
      <c r="D17" s="34">
        <f>1/(1+B6)^(A17-B2)</f>
        <v>0.77859456491490653</v>
      </c>
      <c r="E17" s="34">
        <f t="shared" si="0"/>
        <v>75622.119399760923</v>
      </c>
    </row>
    <row r="18" spans="1:10" ht="15" thickBot="1">
      <c r="A18" s="34">
        <f>B2+4</f>
        <v>2029</v>
      </c>
      <c r="B18" s="34">
        <f>B17*(1+B4)</f>
        <v>170707.07886079993</v>
      </c>
      <c r="C18" s="34">
        <f>B18*B7</f>
        <v>112666.67204812796</v>
      </c>
      <c r="D18" s="34">
        <f>1/(1+B6)^(A18-B2)</f>
        <v>0.71627834858777062</v>
      </c>
      <c r="E18" s="34">
        <f t="shared" si="0"/>
        <v>80700.697795513028</v>
      </c>
    </row>
    <row r="19" spans="1:10" ht="15" thickBot="1">
      <c r="A19" s="34">
        <f>B2+5</f>
        <v>2030</v>
      </c>
      <c r="B19" s="34">
        <f>B18*(1+B4)</f>
        <v>198020.2114785279</v>
      </c>
      <c r="C19" s="34">
        <f>B19*B7</f>
        <v>130693.33957582842</v>
      </c>
      <c r="D19" s="34">
        <f>1/(1+B6)^(A19-B2)</f>
        <v>0.6589497227118406</v>
      </c>
      <c r="E19" s="34">
        <f t="shared" si="0"/>
        <v>86120.339873776553</v>
      </c>
      <c r="J19" s="389" t="s">
        <v>82</v>
      </c>
    </row>
    <row r="21" spans="1:10" ht="15" thickBot="1"/>
    <row r="22" spans="1:10" ht="18" thickBot="1">
      <c r="A22" s="386" t="s">
        <v>179</v>
      </c>
      <c r="B22" s="404" t="s">
        <v>201</v>
      </c>
      <c r="D22" s="51" t="s">
        <v>200</v>
      </c>
      <c r="E22" s="52">
        <f>B30</f>
        <v>772.74378035475195</v>
      </c>
    </row>
    <row r="23" spans="1:10" ht="19" thickTop="1" thickBot="1">
      <c r="A23" s="34" t="s">
        <v>181</v>
      </c>
      <c r="B23" s="405">
        <f>SUM(E14:E19)</f>
        <v>441934.74867918919</v>
      </c>
      <c r="D23" s="43" t="s">
        <v>25</v>
      </c>
      <c r="E23" s="53">
        <v>738.7</v>
      </c>
    </row>
    <row r="24" spans="1:10" ht="20" thickBot="1">
      <c r="A24" s="34" t="s">
        <v>182</v>
      </c>
      <c r="B24" s="405">
        <f>B19*B8</f>
        <v>2376242.5377423349</v>
      </c>
      <c r="D24" s="54" t="s">
        <v>26</v>
      </c>
      <c r="E24" s="55">
        <f>(E22-E23)/E23</f>
        <v>4.6086070603427509E-2</v>
      </c>
    </row>
    <row r="25" spans="1:10" ht="18" thickBot="1">
      <c r="A25" s="34" t="s">
        <v>183</v>
      </c>
      <c r="B25" s="405">
        <f>B24/(1+B6)^B5</f>
        <v>1565824.3613413919</v>
      </c>
      <c r="D25" s="56" t="s">
        <v>27</v>
      </c>
      <c r="E25" s="52" t="str">
        <f>IF(E24&gt;0,"BUY","SELL")</f>
        <v>BUY</v>
      </c>
    </row>
    <row r="26" spans="1:10" ht="15" thickBot="1">
      <c r="A26" s="34" t="s">
        <v>184</v>
      </c>
      <c r="B26" s="34">
        <f>B23+B25</f>
        <v>2007759.1100205812</v>
      </c>
    </row>
    <row r="27" spans="1:10" ht="15" thickBot="1">
      <c r="A27" s="34" t="s">
        <v>185</v>
      </c>
      <c r="B27" s="34">
        <f>B9</f>
        <v>2489</v>
      </c>
    </row>
    <row r="28" spans="1:10" ht="15" thickBot="1">
      <c r="A28" s="34" t="s">
        <v>186</v>
      </c>
      <c r="B28" s="34">
        <f>B26-B27</f>
        <v>2005270.1100205812</v>
      </c>
    </row>
    <row r="29" spans="1:10" ht="15" thickBot="1">
      <c r="A29" s="34" t="s">
        <v>174</v>
      </c>
      <c r="B29" s="34">
        <f>B10</f>
        <v>2595</v>
      </c>
    </row>
    <row r="30" spans="1:10" ht="15" thickBot="1">
      <c r="A30" s="34" t="s">
        <v>187</v>
      </c>
      <c r="B30" s="405">
        <f>B28/B29</f>
        <v>772.74378035475195</v>
      </c>
    </row>
    <row r="31" spans="1:10" ht="15" thickBot="1"/>
    <row r="32" spans="1:10" ht="18" thickBot="1">
      <c r="A32" s="34" t="s">
        <v>188</v>
      </c>
      <c r="B32" s="7">
        <f>B3*B8</f>
        <v>1131360</v>
      </c>
      <c r="D32" s="51" t="s">
        <v>200</v>
      </c>
      <c r="E32" s="52">
        <f>B34</f>
        <v>435.01772639691717</v>
      </c>
    </row>
    <row r="33" spans="1:5" ht="18" thickBot="1">
      <c r="A33" s="34" t="s">
        <v>189</v>
      </c>
      <c r="B33" s="7">
        <f>B32-B9</f>
        <v>1128871</v>
      </c>
      <c r="D33" s="43" t="s">
        <v>25</v>
      </c>
      <c r="E33" s="53">
        <f>E23</f>
        <v>738.7</v>
      </c>
    </row>
    <row r="34" spans="1:5" ht="20" thickBot="1">
      <c r="A34" s="34" t="s">
        <v>190</v>
      </c>
      <c r="B34" s="7">
        <f>B33/B10</f>
        <v>435.01772639691717</v>
      </c>
      <c r="D34" s="54" t="s">
        <v>26</v>
      </c>
      <c r="E34" s="55">
        <f>(E32-E33)/E33</f>
        <v>-0.41110365994731674</v>
      </c>
    </row>
    <row r="35" spans="1:5" ht="18" thickBot="1">
      <c r="A35" s="388"/>
      <c r="D35" s="56" t="s">
        <v>27</v>
      </c>
      <c r="E35" s="52" t="str">
        <f>IF(E34&gt;0,"BUY","SELL")</f>
        <v>SELL</v>
      </c>
    </row>
  </sheetData>
  <phoneticPr fontId="2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2"/>
  <sheetViews>
    <sheetView zoomScale="101" workbookViewId="0">
      <selection activeCell="AE70" sqref="AE70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>
      <c r="A2" s="2"/>
      <c r="B2" s="4" t="s">
        <v>0</v>
      </c>
      <c r="C2" s="5" t="s">
        <v>74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0.1</v>
      </c>
      <c r="J3" s="12">
        <v>0.06</v>
      </c>
      <c r="K3" s="12">
        <v>0.05</v>
      </c>
      <c r="L3" s="12">
        <v>0.05</v>
      </c>
      <c r="M3" s="6"/>
    </row>
    <row r="4" spans="1:13" ht="18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0.1</v>
      </c>
      <c r="I4" s="12">
        <v>0.1</v>
      </c>
      <c r="J4" s="12">
        <v>0.05</v>
      </c>
      <c r="K4" s="12">
        <v>0.05</v>
      </c>
      <c r="L4" s="12">
        <v>0.05</v>
      </c>
      <c r="M4" s="6"/>
    </row>
    <row r="5" spans="1:13" ht="17" customHeigh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36406</v>
      </c>
      <c r="K5" s="6"/>
      <c r="L5" s="6"/>
      <c r="M5" s="6"/>
    </row>
    <row r="6" spans="1:13" ht="34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7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>
      <c r="A8" s="2"/>
      <c r="B8" s="24" t="s">
        <v>11</v>
      </c>
      <c r="C8" s="25">
        <v>0.04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0.04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7">
      <c r="A11" s="2"/>
      <c r="B11" s="7" t="s">
        <v>13</v>
      </c>
      <c r="C11" s="32">
        <v>12267</v>
      </c>
      <c r="D11" s="33">
        <f>C11*(1+H3)</f>
        <v>14720.4</v>
      </c>
      <c r="E11" s="33">
        <f>D11*(1+$I$3)</f>
        <v>16192.44</v>
      </c>
      <c r="F11" s="33">
        <f>E11*(1+$J$3)</f>
        <v>17163.986400000002</v>
      </c>
      <c r="G11" s="33">
        <f>F11*(1+$K$3)</f>
        <v>18022.185720000001</v>
      </c>
      <c r="H11" s="33">
        <f>G11*(1+$L$3)</f>
        <v>18923.295006000004</v>
      </c>
      <c r="I11" s="33">
        <f>H11*(1+$C$8)</f>
        <v>19680.226806240003</v>
      </c>
      <c r="J11" s="33">
        <f>I11*(1+$C$8)</f>
        <v>20467.435878489603</v>
      </c>
      <c r="K11" s="33">
        <f>J11*(1+$C$8)</f>
        <v>21286.133313629187</v>
      </c>
      <c r="L11" s="33">
        <f>K11*(1+$C$8)</f>
        <v>22137.578646174356</v>
      </c>
      <c r="M11" s="33">
        <f>L11*(1+$C$8)</f>
        <v>23023.08179202133</v>
      </c>
    </row>
    <row r="12" spans="1:13" ht="17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314648.78449095809</v>
      </c>
    </row>
    <row r="13" spans="1:13" ht="19">
      <c r="A13" s="2"/>
      <c r="B13" s="35" t="s">
        <v>15</v>
      </c>
      <c r="C13" s="34"/>
      <c r="D13" s="33">
        <f t="shared" ref="D13:L13" si="0">D11</f>
        <v>14720.4</v>
      </c>
      <c r="E13" s="33">
        <f t="shared" si="0"/>
        <v>16192.44</v>
      </c>
      <c r="F13" s="33">
        <f t="shared" si="0"/>
        <v>17163.986400000002</v>
      </c>
      <c r="G13" s="33">
        <f t="shared" si="0"/>
        <v>18022.185720000001</v>
      </c>
      <c r="H13" s="33">
        <f t="shared" si="0"/>
        <v>18923.295006000004</v>
      </c>
      <c r="I13" s="33">
        <f t="shared" si="0"/>
        <v>19680.226806240003</v>
      </c>
      <c r="J13" s="33">
        <f t="shared" si="0"/>
        <v>20467.435878489603</v>
      </c>
      <c r="K13" s="33">
        <f t="shared" si="0"/>
        <v>21286.133313629187</v>
      </c>
      <c r="L13" s="33">
        <f t="shared" si="0"/>
        <v>22137.578646174356</v>
      </c>
      <c r="M13" s="60">
        <f>M11+M12</f>
        <v>337671.86628297943</v>
      </c>
    </row>
    <row r="14" spans="1:13">
      <c r="A14" s="2"/>
      <c r="B14" s="36" t="s">
        <v>35</v>
      </c>
      <c r="C14" s="37">
        <f>C11/J5</f>
        <v>0.33694995330440036</v>
      </c>
      <c r="D14" s="37">
        <f>C14*(1+$H$3)/(1+$H$4)</f>
        <v>0.36758176724116404</v>
      </c>
      <c r="E14" s="37">
        <f>D14*(1+$I$3)/(1+$I$4)</f>
        <v>0.36758176724116404</v>
      </c>
      <c r="F14" s="37">
        <f>E14*(1+$J$3)/(1+$J$4)</f>
        <v>0.37108254597679419</v>
      </c>
      <c r="G14" s="37">
        <f>F14*(1+$K$3)/(1+$K$4)</f>
        <v>0.37108254597679419</v>
      </c>
      <c r="H14" s="37">
        <f>G14*(1+$L$3)/(1+$L$4)</f>
        <v>0.37108254597679419</v>
      </c>
      <c r="I14" s="61">
        <f>H14*(1+$C$8)/(1+$J$8)</f>
        <v>0.37108254597679419</v>
      </c>
      <c r="J14" s="61">
        <f>I14*(1+$C$8)/(1+$J$8)</f>
        <v>0.37108254597679419</v>
      </c>
      <c r="K14" s="61">
        <f>J14*(1+$C$8)/(1+$J$8)</f>
        <v>0.37108254597679419</v>
      </c>
      <c r="L14" s="61">
        <f>K14*(1+$C$8)/(1+$J$8)</f>
        <v>0.37108254597679419</v>
      </c>
      <c r="M14" s="61">
        <f>L14*(1+$C$8)/(1+$J$8)</f>
        <v>0.37108254597679419</v>
      </c>
    </row>
    <row r="15" spans="1:13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40"/>
      <c r="E16" s="458" t="s">
        <v>17</v>
      </c>
      <c r="F16" s="459">
        <f>C22</f>
        <v>206.39907430682479</v>
      </c>
      <c r="G16" s="459"/>
      <c r="H16" s="6"/>
      <c r="I16" s="6"/>
      <c r="J16" s="6"/>
      <c r="K16" s="6"/>
      <c r="L16" s="6"/>
      <c r="M16" s="6"/>
    </row>
    <row r="17" spans="1:13" ht="17">
      <c r="A17" s="2"/>
      <c r="B17" s="41" t="s">
        <v>18</v>
      </c>
      <c r="C17" s="42">
        <f>NPV(C6,D13:M13)</f>
        <v>234836.953966712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7">
      <c r="A18" s="2"/>
      <c r="B18" s="43" t="s">
        <v>19</v>
      </c>
      <c r="C18" s="44">
        <v>13851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20</v>
      </c>
      <c r="C19" s="32">
        <v>15457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7">
      <c r="A20" s="2"/>
      <c r="B20" s="46" t="s">
        <v>21</v>
      </c>
      <c r="C20" s="31">
        <f>C17+C18-C19</f>
        <v>233230.953966712</v>
      </c>
      <c r="D20" s="47"/>
      <c r="E20" s="460" t="s">
        <v>22</v>
      </c>
      <c r="F20" s="461">
        <f>C23</f>
        <v>205.39</v>
      </c>
      <c r="G20" s="461"/>
      <c r="H20" s="6"/>
      <c r="I20" s="6"/>
      <c r="J20" s="6"/>
      <c r="K20" s="6"/>
      <c r="L20" s="6"/>
      <c r="M20" s="6"/>
    </row>
    <row r="21" spans="1:13" ht="17">
      <c r="A21" s="2"/>
      <c r="B21" s="48" t="s">
        <v>23</v>
      </c>
      <c r="C21" s="49">
        <v>1130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7">
      <c r="A22" s="50"/>
      <c r="B22" s="51" t="s">
        <v>24</v>
      </c>
      <c r="C22" s="52">
        <f>C20/C21</f>
        <v>206.39907430682479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">
      <c r="A23" s="2"/>
      <c r="B23" s="43" t="s">
        <v>25</v>
      </c>
      <c r="C23" s="53">
        <v>205.39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9">
      <c r="A24" s="2"/>
      <c r="B24" s="54" t="s">
        <v>26</v>
      </c>
      <c r="C24" s="55">
        <f>(C22-C23)/C23</f>
        <v>4.9129670715458412E-3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7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2"/>
  <sheetViews>
    <sheetView zoomScale="119" workbookViewId="0">
      <selection activeCell="L31" sqref="L31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>
      <c r="A2" s="2"/>
      <c r="B2" s="4" t="s">
        <v>0</v>
      </c>
      <c r="C2" s="5" t="s">
        <v>75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0.15</v>
      </c>
      <c r="K3" s="12">
        <v>0.1</v>
      </c>
      <c r="L3" s="12">
        <v>0.1</v>
      </c>
      <c r="M3" s="6"/>
    </row>
    <row r="4" spans="1:13" ht="18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</v>
      </c>
      <c r="J4" s="12">
        <v>0.15</v>
      </c>
      <c r="K4" s="12">
        <v>0.1</v>
      </c>
      <c r="L4" s="12">
        <v>0.1</v>
      </c>
      <c r="M4" s="6"/>
    </row>
    <row r="5" spans="1:13" ht="17" customHeigh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36406</v>
      </c>
      <c r="K5" s="6"/>
      <c r="L5" s="6"/>
      <c r="M5" s="6"/>
    </row>
    <row r="6" spans="1:13" ht="34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7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7">
      <c r="A11" s="2"/>
      <c r="B11" s="7" t="s">
        <v>13</v>
      </c>
      <c r="C11" s="32">
        <v>18461</v>
      </c>
      <c r="D11" s="33">
        <f>C11*(1+H3)</f>
        <v>22153.200000000001</v>
      </c>
      <c r="E11" s="33">
        <f>D11*(1+$I$3)</f>
        <v>26583.84</v>
      </c>
      <c r="F11" s="33">
        <f>E11*(1+$J$3)</f>
        <v>30571.415999999997</v>
      </c>
      <c r="G11" s="33">
        <f>F11*(1+$K$3)</f>
        <v>33628.5576</v>
      </c>
      <c r="H11" s="33">
        <f>G11*(1+$L$3)</f>
        <v>36991.413360000006</v>
      </c>
      <c r="I11" s="33">
        <f>H11*(1+$C$8)</f>
        <v>38840.984028000006</v>
      </c>
      <c r="J11" s="33">
        <f>I11*(1+$C$8)</f>
        <v>40783.033229400011</v>
      </c>
      <c r="K11" s="33">
        <f>J11*(1+$C$8)</f>
        <v>42822.184890870012</v>
      </c>
      <c r="L11" s="33">
        <f>K11*(1+$C$8)</f>
        <v>44963.294135413518</v>
      </c>
      <c r="M11" s="33">
        <f>L11*(1+$C$8)</f>
        <v>47211.458842184198</v>
      </c>
    </row>
    <row r="12" spans="1:13" ht="17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645223.27084318385</v>
      </c>
    </row>
    <row r="13" spans="1:13" ht="19">
      <c r="A13" s="2"/>
      <c r="B13" s="35" t="s">
        <v>15</v>
      </c>
      <c r="C13" s="34"/>
      <c r="D13" s="33">
        <f t="shared" ref="D13:L13" si="0">D11</f>
        <v>22153.200000000001</v>
      </c>
      <c r="E13" s="33">
        <f t="shared" si="0"/>
        <v>26583.84</v>
      </c>
      <c r="F13" s="33">
        <f t="shared" si="0"/>
        <v>30571.415999999997</v>
      </c>
      <c r="G13" s="33">
        <f t="shared" si="0"/>
        <v>33628.5576</v>
      </c>
      <c r="H13" s="33">
        <f t="shared" si="0"/>
        <v>36991.413360000006</v>
      </c>
      <c r="I13" s="33">
        <f t="shared" si="0"/>
        <v>38840.984028000006</v>
      </c>
      <c r="J13" s="33">
        <f t="shared" si="0"/>
        <v>40783.033229400011</v>
      </c>
      <c r="K13" s="33">
        <f t="shared" si="0"/>
        <v>42822.184890870012</v>
      </c>
      <c r="L13" s="33">
        <f t="shared" si="0"/>
        <v>44963.294135413518</v>
      </c>
      <c r="M13" s="60">
        <f>M11+M12</f>
        <v>692434.72968536802</v>
      </c>
    </row>
    <row r="14" spans="1:13">
      <c r="A14" s="2"/>
      <c r="B14" s="36" t="s">
        <v>35</v>
      </c>
      <c r="C14" s="37">
        <f>C11/J5</f>
        <v>0.507086743943306</v>
      </c>
      <c r="D14" s="37">
        <f>C14*(1+$H$3)/(1+$H$4)</f>
        <v>0.507086743943306</v>
      </c>
      <c r="E14" s="37">
        <f>D14*(1+$I$3)/(1+$I$4)</f>
        <v>0.507086743943306</v>
      </c>
      <c r="F14" s="37">
        <f>E14*(1+$J$3)/(1+$J$4)</f>
        <v>0.507086743943306</v>
      </c>
      <c r="G14" s="37">
        <f>F14*(1+$K$3)/(1+$K$4)</f>
        <v>0.507086743943306</v>
      </c>
      <c r="H14" s="37">
        <f>G14*(1+$L$3)/(1+$L$4)</f>
        <v>0.507086743943306</v>
      </c>
      <c r="I14" s="61">
        <f>H14*(1+$C$8)/(1+$J$8)</f>
        <v>0.507086743943306</v>
      </c>
      <c r="J14" s="61">
        <f>I14*(1+$C$8)/(1+$J$8)</f>
        <v>0.507086743943306</v>
      </c>
      <c r="K14" s="61">
        <f>J14*(1+$C$8)/(1+$J$8)</f>
        <v>0.507086743943306</v>
      </c>
      <c r="L14" s="61">
        <f>K14*(1+$C$8)/(1+$J$8)</f>
        <v>0.507086743943306</v>
      </c>
      <c r="M14" s="61">
        <f>L14*(1+$C$8)/(1+$J$8)</f>
        <v>0.507086743943306</v>
      </c>
    </row>
    <row r="15" spans="1:13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40"/>
      <c r="E16" s="458" t="s">
        <v>17</v>
      </c>
      <c r="F16" s="459">
        <f>C22</f>
        <v>824.31413028821373</v>
      </c>
      <c r="G16" s="459"/>
      <c r="H16" s="6"/>
      <c r="I16" s="6"/>
      <c r="J16" s="6"/>
      <c r="K16" s="6"/>
      <c r="L16" s="6"/>
      <c r="M16" s="6"/>
    </row>
    <row r="17" spans="1:13" ht="17">
      <c r="A17" s="2"/>
      <c r="B17" s="41" t="s">
        <v>18</v>
      </c>
      <c r="C17" s="42">
        <f>NPV(C6,D13:M13)</f>
        <v>459877.78253834258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7">
      <c r="A18" s="2"/>
      <c r="B18" s="43" t="s">
        <v>19</v>
      </c>
      <c r="C18" s="44">
        <v>9809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20</v>
      </c>
      <c r="C19" s="32">
        <v>74016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7">
      <c r="A20" s="2"/>
      <c r="B20" s="46" t="s">
        <v>21</v>
      </c>
      <c r="C20" s="31">
        <f>C17+C18-C19</f>
        <v>395670.78253834258</v>
      </c>
      <c r="D20" s="47"/>
      <c r="E20" s="460" t="s">
        <v>22</v>
      </c>
      <c r="F20" s="461">
        <f>C23</f>
        <v>1828.87</v>
      </c>
      <c r="G20" s="461"/>
      <c r="H20" s="6"/>
      <c r="I20" s="6"/>
      <c r="J20" s="6"/>
      <c r="K20" s="6"/>
      <c r="L20" s="6"/>
      <c r="M20" s="6"/>
    </row>
    <row r="21" spans="1:13" ht="17">
      <c r="A21" s="2"/>
      <c r="B21" s="48" t="s">
        <v>23</v>
      </c>
      <c r="C21" s="49">
        <v>480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7">
      <c r="A22" s="50"/>
      <c r="B22" s="51" t="s">
        <v>24</v>
      </c>
      <c r="C22" s="52">
        <f>C20/C21</f>
        <v>824.31413028821373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">
      <c r="A23" s="2"/>
      <c r="B23" s="43" t="s">
        <v>25</v>
      </c>
      <c r="C23" s="53">
        <v>1828.87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9">
      <c r="A24" s="2"/>
      <c r="B24" s="54" t="s">
        <v>26</v>
      </c>
      <c r="C24" s="55">
        <f>(C22-C23)/C23</f>
        <v>-0.54927680464537454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7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2"/>
  <sheetViews>
    <sheetView zoomScale="150" workbookViewId="0">
      <selection activeCell="F20" sqref="F20:G21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>
      <c r="A2" s="2"/>
      <c r="B2" s="4" t="s">
        <v>0</v>
      </c>
      <c r="C2" s="5" t="s">
        <v>76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-0.3</v>
      </c>
      <c r="I3" s="12">
        <v>-0.2</v>
      </c>
      <c r="J3" s="12">
        <v>-0.2</v>
      </c>
      <c r="K3" s="12">
        <v>-0.05</v>
      </c>
      <c r="L3" s="12">
        <v>0</v>
      </c>
      <c r="M3" s="6"/>
    </row>
    <row r="4" spans="1:13" ht="18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</v>
      </c>
      <c r="J4" s="12">
        <v>0.15</v>
      </c>
      <c r="K4" s="12">
        <v>0.1</v>
      </c>
      <c r="L4" s="12">
        <v>0.1</v>
      </c>
      <c r="M4" s="6"/>
    </row>
    <row r="5" spans="1:13" ht="17" customHeigh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703.04</v>
      </c>
      <c r="K5" s="6"/>
      <c r="L5" s="6"/>
      <c r="M5" s="6"/>
    </row>
    <row r="6" spans="1:13" ht="34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7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>
      <c r="A8" s="2"/>
      <c r="B8" s="24" t="s">
        <v>11</v>
      </c>
      <c r="C8" s="25">
        <v>0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7">
      <c r="A11" s="2"/>
      <c r="B11" s="7" t="s">
        <v>13</v>
      </c>
      <c r="C11" s="32">
        <v>142.24</v>
      </c>
      <c r="D11" s="33">
        <f>C11*(1+H3)</f>
        <v>99.567999999999998</v>
      </c>
      <c r="E11" s="33">
        <f>D11*(1+$I$3)</f>
        <v>79.65440000000001</v>
      </c>
      <c r="F11" s="33">
        <f>E11*(1+$J$3)</f>
        <v>63.723520000000008</v>
      </c>
      <c r="G11" s="33">
        <f>F11*(1+$K$3)</f>
        <v>60.537344000000004</v>
      </c>
      <c r="H11" s="33">
        <f>G11*(1+$L$3)</f>
        <v>60.537344000000004</v>
      </c>
      <c r="I11" s="33">
        <f>H11*(1+$C$8)</f>
        <v>60.537344000000004</v>
      </c>
      <c r="J11" s="33">
        <f>I11*(1+$C$8)</f>
        <v>60.537344000000004</v>
      </c>
      <c r="K11" s="33">
        <f>J11*(1+$C$8)</f>
        <v>60.537344000000004</v>
      </c>
      <c r="L11" s="33">
        <f>K11*(1+$C$8)</f>
        <v>60.537344000000004</v>
      </c>
      <c r="M11" s="33">
        <f>L11*(1+$C$8)</f>
        <v>60.537344000000004</v>
      </c>
    </row>
    <row r="12" spans="1:13" ht="17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827.34370133333312</v>
      </c>
    </row>
    <row r="13" spans="1:13" ht="19">
      <c r="A13" s="2"/>
      <c r="B13" s="35" t="s">
        <v>15</v>
      </c>
      <c r="C13" s="34"/>
      <c r="D13" s="33">
        <f t="shared" ref="D13:L13" si="0">D11</f>
        <v>99.567999999999998</v>
      </c>
      <c r="E13" s="33">
        <f t="shared" si="0"/>
        <v>79.65440000000001</v>
      </c>
      <c r="F13" s="33">
        <f t="shared" si="0"/>
        <v>63.723520000000008</v>
      </c>
      <c r="G13" s="33">
        <f t="shared" si="0"/>
        <v>60.537344000000004</v>
      </c>
      <c r="H13" s="33">
        <f t="shared" si="0"/>
        <v>60.537344000000004</v>
      </c>
      <c r="I13" s="33">
        <f t="shared" si="0"/>
        <v>60.537344000000004</v>
      </c>
      <c r="J13" s="33">
        <f t="shared" si="0"/>
        <v>60.537344000000004</v>
      </c>
      <c r="K13" s="33">
        <f t="shared" si="0"/>
        <v>60.537344000000004</v>
      </c>
      <c r="L13" s="33">
        <f t="shared" si="0"/>
        <v>60.537344000000004</v>
      </c>
      <c r="M13" s="60">
        <f>M11+M12</f>
        <v>887.88104533333308</v>
      </c>
    </row>
    <row r="14" spans="1:13">
      <c r="A14" s="2"/>
      <c r="B14" s="36" t="s">
        <v>35</v>
      </c>
      <c r="C14" s="37">
        <f>C11/J5</f>
        <v>0.20232134729176152</v>
      </c>
      <c r="D14" s="37">
        <f>C14*(1+$H$3)/(1+$H$4)</f>
        <v>0.1180207859201942</v>
      </c>
      <c r="E14" s="37">
        <f>D14*(1+$I$3)/(1+$I$4)</f>
        <v>7.8680523946796144E-2</v>
      </c>
      <c r="F14" s="37">
        <f>E14*(1+$J$3)/(1+$J$4)</f>
        <v>5.4734277528206011E-2</v>
      </c>
      <c r="G14" s="37">
        <f>F14*(1+$K$3)/(1+$K$4)</f>
        <v>4.7270512410723373E-2</v>
      </c>
      <c r="H14" s="37">
        <f>G14*(1+$L$3)/(1+$L$4)</f>
        <v>4.2973193100657607E-2</v>
      </c>
      <c r="I14" s="61">
        <f>H14*(1+$C$8)/(1+$J$8)</f>
        <v>4.0926850572054863E-2</v>
      </c>
      <c r="J14" s="61">
        <f>I14*(1+$C$8)/(1+$J$8)</f>
        <v>3.8977952925766536E-2</v>
      </c>
      <c r="K14" s="61">
        <f>J14*(1+$C$8)/(1+$J$8)</f>
        <v>3.7121859929301462E-2</v>
      </c>
      <c r="L14" s="61">
        <f>K14*(1+$C$8)/(1+$J$8)</f>
        <v>3.5354152313620442E-2</v>
      </c>
      <c r="M14" s="61">
        <f>L14*(1+$C$8)/(1+$J$8)</f>
        <v>3.3670621251067089E-2</v>
      </c>
    </row>
    <row r="15" spans="1:13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40"/>
      <c r="E16" s="458" t="s">
        <v>17</v>
      </c>
      <c r="F16" s="459">
        <f>C22</f>
        <v>5.0838043164434152</v>
      </c>
      <c r="G16" s="459"/>
      <c r="H16" s="6"/>
      <c r="I16" s="6"/>
      <c r="J16" s="6"/>
      <c r="K16" s="6"/>
      <c r="L16" s="6"/>
      <c r="M16" s="6"/>
    </row>
    <row r="17" spans="1:13" ht="17">
      <c r="A17" s="2"/>
      <c r="B17" s="41" t="s">
        <v>18</v>
      </c>
      <c r="C17" s="42">
        <f>NPV(C6,D13:M13)</f>
        <v>744.62804027722837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7">
      <c r="A18" s="2"/>
      <c r="B18" s="43" t="s">
        <v>19</v>
      </c>
      <c r="C18" s="44">
        <v>390.76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20</v>
      </c>
      <c r="C19" s="32">
        <v>616.84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7">
      <c r="A20" s="2"/>
      <c r="B20" s="46" t="s">
        <v>21</v>
      </c>
      <c r="C20" s="31">
        <f>C17+C18-C19</f>
        <v>518.54804027722832</v>
      </c>
      <c r="D20" s="47"/>
      <c r="E20" s="460" t="s">
        <v>22</v>
      </c>
      <c r="F20" s="461">
        <f>C23</f>
        <v>2.97</v>
      </c>
      <c r="G20" s="461"/>
      <c r="H20" s="6"/>
      <c r="I20" s="6"/>
      <c r="J20" s="6"/>
      <c r="K20" s="6"/>
      <c r="L20" s="6"/>
      <c r="M20" s="6"/>
    </row>
    <row r="21" spans="1:13" ht="17">
      <c r="A21" s="2"/>
      <c r="B21" s="48" t="s">
        <v>23</v>
      </c>
      <c r="C21" s="49">
        <v>102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7">
      <c r="A22" s="50"/>
      <c r="B22" s="51" t="s">
        <v>24</v>
      </c>
      <c r="C22" s="52">
        <f>C20/C21</f>
        <v>5.0838043164434152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">
      <c r="A23" s="2"/>
      <c r="B23" s="43" t="s">
        <v>25</v>
      </c>
      <c r="C23" s="53">
        <v>2.97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9">
      <c r="A24" s="2"/>
      <c r="B24" s="54" t="s">
        <v>26</v>
      </c>
      <c r="C24" s="55">
        <f>(C22-C23)/C23</f>
        <v>0.71171862506512285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7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2"/>
  <sheetViews>
    <sheetView zoomScale="150" workbookViewId="0">
      <selection activeCell="H22" sqref="H22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>
      <c r="A2" s="2"/>
      <c r="B2" s="4" t="s">
        <v>0</v>
      </c>
      <c r="C2" s="5" t="s">
        <v>77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0.4</v>
      </c>
      <c r="I3" s="12">
        <v>0.35</v>
      </c>
      <c r="J3" s="12">
        <v>0.3</v>
      </c>
      <c r="K3" s="12">
        <v>0.26</v>
      </c>
      <c r="L3" s="12">
        <v>0.3</v>
      </c>
      <c r="M3" s="6"/>
    </row>
    <row r="4" spans="1:13" ht="18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</v>
      </c>
      <c r="J4" s="12">
        <v>0.15</v>
      </c>
      <c r="K4" s="12">
        <v>0.1</v>
      </c>
      <c r="L4" s="12">
        <v>0.1</v>
      </c>
      <c r="M4" s="6"/>
    </row>
    <row r="5" spans="1:13" ht="17" customHeigh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3012</v>
      </c>
      <c r="K5" s="6"/>
      <c r="L5" s="6"/>
      <c r="M5" s="6"/>
    </row>
    <row r="6" spans="1:13" ht="34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7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7">
      <c r="A11" s="2"/>
      <c r="B11" s="7" t="s">
        <v>13</v>
      </c>
      <c r="C11" s="32">
        <v>827.32</v>
      </c>
      <c r="D11" s="33">
        <f>C11*(1+H3)</f>
        <v>1158.248</v>
      </c>
      <c r="E11" s="33">
        <f>D11*(1+$I$3)</f>
        <v>1563.6348000000003</v>
      </c>
      <c r="F11" s="33">
        <f>E11*(1+$J$3)</f>
        <v>2032.7252400000004</v>
      </c>
      <c r="G11" s="33">
        <f>F11*(1+$K$3)</f>
        <v>2561.2338024000005</v>
      </c>
      <c r="H11" s="33">
        <f>G11*(1+$L$3)</f>
        <v>3329.6039431200006</v>
      </c>
      <c r="I11" s="33">
        <f>H11*(1+$C$8)</f>
        <v>3662.5643374320011</v>
      </c>
      <c r="J11" s="33">
        <f>I11*(1+$C$8)</f>
        <v>4028.8207711752016</v>
      </c>
      <c r="K11" s="33">
        <f>J11*(1+$C$8)</f>
        <v>4431.7028482927217</v>
      </c>
      <c r="L11" s="33">
        <f>K11*(1+$C$8)</f>
        <v>4874.8731331219942</v>
      </c>
      <c r="M11" s="33">
        <f>L11*(1+$C$8)</f>
        <v>5362.3604464341943</v>
      </c>
    </row>
    <row r="12" spans="1:13" ht="17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73285.592767933966</v>
      </c>
    </row>
    <row r="13" spans="1:13" ht="19">
      <c r="A13" s="2"/>
      <c r="B13" s="35" t="s">
        <v>15</v>
      </c>
      <c r="C13" s="34"/>
      <c r="D13" s="33">
        <f t="shared" ref="D13:L13" si="0">D11</f>
        <v>1158.248</v>
      </c>
      <c r="E13" s="33">
        <f t="shared" si="0"/>
        <v>1563.6348000000003</v>
      </c>
      <c r="F13" s="33">
        <f t="shared" si="0"/>
        <v>2032.7252400000004</v>
      </c>
      <c r="G13" s="33">
        <f t="shared" si="0"/>
        <v>2561.2338024000005</v>
      </c>
      <c r="H13" s="33">
        <f t="shared" si="0"/>
        <v>3329.6039431200006</v>
      </c>
      <c r="I13" s="33">
        <f t="shared" si="0"/>
        <v>3662.5643374320011</v>
      </c>
      <c r="J13" s="33">
        <f t="shared" si="0"/>
        <v>4028.8207711752016</v>
      </c>
      <c r="K13" s="33">
        <f t="shared" si="0"/>
        <v>4431.7028482927217</v>
      </c>
      <c r="L13" s="33">
        <f t="shared" si="0"/>
        <v>4874.8731331219942</v>
      </c>
      <c r="M13" s="60">
        <f>M11+M12</f>
        <v>78647.953214368157</v>
      </c>
    </row>
    <row r="14" spans="1:13">
      <c r="A14" s="2"/>
      <c r="B14" s="36" t="s">
        <v>35</v>
      </c>
      <c r="C14" s="37">
        <f>C11/J5</f>
        <v>0.27467463479415671</v>
      </c>
      <c r="D14" s="37">
        <f>C14*(1+$H$3)/(1+$H$4)</f>
        <v>0.32045374059318282</v>
      </c>
      <c r="E14" s="37">
        <f>D14*(1+$I$3)/(1+$I$4)</f>
        <v>0.36051045816733068</v>
      </c>
      <c r="F14" s="37">
        <f>E14*(1+$J$3)/(1+$J$4)</f>
        <v>0.40753356140654778</v>
      </c>
      <c r="G14" s="37">
        <f>F14*(1+$K$3)/(1+$K$4)</f>
        <v>0.46681117033840919</v>
      </c>
      <c r="H14" s="37">
        <f>G14*(1+$L$3)/(1+$L$4)</f>
        <v>0.55168592858175636</v>
      </c>
      <c r="I14" s="61">
        <f>H14*(1+$C$8)/(1+$J$8)</f>
        <v>0.57795668708564951</v>
      </c>
      <c r="J14" s="61">
        <f>I14*(1+$C$8)/(1+$J$8)</f>
        <v>0.60547843408972812</v>
      </c>
      <c r="K14" s="61">
        <f>J14*(1+$C$8)/(1+$J$8)</f>
        <v>0.63431074047495328</v>
      </c>
      <c r="L14" s="61">
        <f>K14*(1+$C$8)/(1+$J$8)</f>
        <v>0.66451601383090342</v>
      </c>
      <c r="M14" s="61">
        <f>L14*(1+$C$8)/(1+$J$8)</f>
        <v>0.69615963353713695</v>
      </c>
    </row>
    <row r="15" spans="1:13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40"/>
      <c r="E16" s="458" t="s">
        <v>17</v>
      </c>
      <c r="F16" s="459">
        <f>C22</f>
        <v>143.99316168083683</v>
      </c>
      <c r="G16" s="459"/>
      <c r="H16" s="6"/>
      <c r="I16" s="6"/>
      <c r="J16" s="6"/>
      <c r="K16" s="6"/>
      <c r="L16" s="6"/>
      <c r="M16" s="6"/>
    </row>
    <row r="17" spans="1:13" ht="17">
      <c r="A17" s="2"/>
      <c r="B17" s="41" t="s">
        <v>18</v>
      </c>
      <c r="C17" s="42">
        <f>NPV(C6,D13:M13)</f>
        <v>46281.087618207872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7">
      <c r="A18" s="2"/>
      <c r="B18" s="43" t="s">
        <v>19</v>
      </c>
      <c r="C18" s="44">
        <v>3531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20</v>
      </c>
      <c r="C19" s="32">
        <v>278.44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7">
      <c r="A20" s="2"/>
      <c r="B20" s="46" t="s">
        <v>21</v>
      </c>
      <c r="C20" s="31">
        <f>C17+C18-C19</f>
        <v>49533.64761820787</v>
      </c>
      <c r="D20" s="47"/>
      <c r="E20" s="460" t="s">
        <v>22</v>
      </c>
      <c r="F20" s="461">
        <f>C23</f>
        <v>124.07</v>
      </c>
      <c r="G20" s="461"/>
      <c r="H20" s="6"/>
      <c r="I20" s="6"/>
      <c r="J20" s="6"/>
      <c r="K20" s="6"/>
      <c r="L20" s="6"/>
      <c r="M20" s="6"/>
    </row>
    <row r="21" spans="1:13" ht="17">
      <c r="A21" s="2"/>
      <c r="B21" s="48" t="s">
        <v>23</v>
      </c>
      <c r="C21" s="49">
        <v>344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7">
      <c r="A22" s="50"/>
      <c r="B22" s="51" t="s">
        <v>24</v>
      </c>
      <c r="C22" s="52">
        <f>C20/C21</f>
        <v>143.99316168083683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">
      <c r="A23" s="2"/>
      <c r="B23" s="43" t="s">
        <v>25</v>
      </c>
      <c r="C23" s="53">
        <v>124.07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9">
      <c r="A24" s="2"/>
      <c r="B24" s="54" t="s">
        <v>26</v>
      </c>
      <c r="C24" s="55">
        <f>(C22-C23)/C23</f>
        <v>0.16058000871150838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7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F0A5-253C-7E40-BFF6-E053614045AB}">
  <dimension ref="A1:M32"/>
  <sheetViews>
    <sheetView zoomScale="134" workbookViewId="0">
      <selection activeCell="G42" sqref="G42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9.1640625" style="1" bestFit="1" customWidth="1"/>
    <col min="7" max="7" width="21.83203125" style="1" customWidth="1"/>
    <col min="8" max="8" width="9.1640625" style="1" bestFit="1" customWidth="1"/>
    <col min="9" max="9" width="15.6640625" style="1" customWidth="1"/>
    <col min="10" max="12" width="9.1640625" style="1" bestFit="1" customWidth="1"/>
    <col min="13" max="13" width="13.1640625" style="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107" t="s">
        <v>78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0.3</v>
      </c>
      <c r="I3" s="12">
        <v>0.15</v>
      </c>
      <c r="J3" s="12">
        <v>0.15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</v>
      </c>
      <c r="J4" s="12">
        <v>0.15</v>
      </c>
      <c r="K4" s="12">
        <v>0.1</v>
      </c>
      <c r="L4" s="12">
        <v>0.1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58633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8" thickBot="1">
      <c r="A11" s="2"/>
      <c r="B11" s="7" t="s">
        <v>13</v>
      </c>
      <c r="C11" s="32">
        <v>6936</v>
      </c>
      <c r="D11" s="33">
        <f>C11*(1+H3)</f>
        <v>9016.8000000000011</v>
      </c>
      <c r="E11" s="33">
        <f>D11*(1+$I$3)</f>
        <v>10369.32</v>
      </c>
      <c r="F11" s="33">
        <f>E11*(1+$J$3)</f>
        <v>11924.717999999999</v>
      </c>
      <c r="G11" s="33">
        <f>F11*(1+$K$3)</f>
        <v>13117.1898</v>
      </c>
      <c r="H11" s="33">
        <f>G11*(1+$L$3)</f>
        <v>14428.908780000002</v>
      </c>
      <c r="I11" s="33">
        <f>H11*(1+$C$8)</f>
        <v>15583.221482400002</v>
      </c>
      <c r="J11" s="33">
        <f>I11*(1+$C$8)</f>
        <v>16829.879200992003</v>
      </c>
      <c r="K11" s="33">
        <f>J11*(1+$C$8)</f>
        <v>18176.269537071366</v>
      </c>
      <c r="L11" s="33">
        <f>K11*(1+$C$8)</f>
        <v>19630.371100037079</v>
      </c>
      <c r="M11" s="33">
        <f>L11*(1+$C$8)</f>
        <v>21200.800788040047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289744.27743654721</v>
      </c>
    </row>
    <row r="13" spans="1:13" ht="20" thickBot="1">
      <c r="A13" s="2"/>
      <c r="B13" s="35" t="s">
        <v>15</v>
      </c>
      <c r="C13" s="34"/>
      <c r="D13" s="33">
        <f t="shared" ref="D13:L13" si="0">D11</f>
        <v>9016.8000000000011</v>
      </c>
      <c r="E13" s="33">
        <f t="shared" si="0"/>
        <v>10369.32</v>
      </c>
      <c r="F13" s="33">
        <f t="shared" si="0"/>
        <v>11924.717999999999</v>
      </c>
      <c r="G13" s="33">
        <f t="shared" si="0"/>
        <v>13117.1898</v>
      </c>
      <c r="H13" s="33">
        <f t="shared" si="0"/>
        <v>14428.908780000002</v>
      </c>
      <c r="I13" s="33">
        <f t="shared" si="0"/>
        <v>15583.221482400002</v>
      </c>
      <c r="J13" s="33">
        <f t="shared" si="0"/>
        <v>16829.879200992003</v>
      </c>
      <c r="K13" s="33">
        <f t="shared" si="0"/>
        <v>18176.269537071366</v>
      </c>
      <c r="L13" s="33">
        <f t="shared" si="0"/>
        <v>19630.371100037079</v>
      </c>
      <c r="M13" s="60">
        <f>M11+M12</f>
        <v>310945.07822458725</v>
      </c>
    </row>
    <row r="14" spans="1:13" ht="15" thickBot="1">
      <c r="A14" s="2"/>
      <c r="B14" s="36" t="s">
        <v>35</v>
      </c>
      <c r="C14" s="37">
        <f>C11/J5</f>
        <v>0.11829515801681646</v>
      </c>
      <c r="D14" s="37">
        <f>C14*(1+$H$3)/(1+$H$4)</f>
        <v>0.12815308785155116</v>
      </c>
      <c r="E14" s="37">
        <f>D14*(1+$I$3)/(1+$I$4)</f>
        <v>0.12281337585773654</v>
      </c>
      <c r="F14" s="37">
        <f>E14*(1+$J$3)/(1+$J$4)</f>
        <v>0.12281337585773654</v>
      </c>
      <c r="G14" s="37">
        <f>F14*(1+$K$3)/(1+$K$4)</f>
        <v>0.12281337585773654</v>
      </c>
      <c r="H14" s="37">
        <f>G14*(1+$L$3)/(1+$L$4)</f>
        <v>0.12281337585773654</v>
      </c>
      <c r="I14" s="61">
        <f>H14*(1+$C$8)/(1+$J$8)</f>
        <v>0.12632232945367186</v>
      </c>
      <c r="J14" s="61">
        <f>I14*(1+$C$8)/(1+$J$8)</f>
        <v>0.12993153886663392</v>
      </c>
      <c r="K14" s="61">
        <f>J14*(1+$C$8)/(1+$J$8)</f>
        <v>0.13364386854853774</v>
      </c>
      <c r="L14" s="61">
        <f>K14*(1+$C$8)/(1+$J$8)</f>
        <v>0.13746226479278167</v>
      </c>
      <c r="M14" s="61">
        <f>L14*(1+$C$8)/(1+$J$8)</f>
        <v>0.14138975807257545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17</v>
      </c>
      <c r="F16" s="459">
        <f>C22</f>
        <v>495.25354485246663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197764.48546898572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5553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65637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31">
        <f>C17+C18-C19</f>
        <v>137680.48546898572</v>
      </c>
      <c r="D20" s="47"/>
      <c r="E20" s="460" t="s">
        <v>22</v>
      </c>
      <c r="F20" s="461">
        <f>C23</f>
        <v>360.03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278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495.25354485246663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360.03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0.37558965878528644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F213B-4B3E-B84F-8A4A-3AB434E1DE29}">
  <dimension ref="A1:M32"/>
  <sheetViews>
    <sheetView zoomScale="169" workbookViewId="0">
      <selection activeCell="J24" sqref="J24"/>
    </sheetView>
  </sheetViews>
  <sheetFormatPr baseColWidth="10" defaultColWidth="9" defaultRowHeight="14"/>
  <cols>
    <col min="2" max="2" width="20.1640625" customWidth="1"/>
    <col min="3" max="3" width="16.33203125" style="109" customWidth="1"/>
    <col min="4" max="4" width="12.5" style="109" customWidth="1"/>
    <col min="5" max="6" width="9.1640625" style="109" bestFit="1" customWidth="1"/>
    <col min="7" max="7" width="21.83203125" style="109" customWidth="1"/>
    <col min="8" max="8" width="9.1640625" style="109" bestFit="1" customWidth="1"/>
    <col min="9" max="9" width="15.6640625" style="109" customWidth="1"/>
    <col min="10" max="12" width="9.1640625" style="109" bestFit="1" customWidth="1"/>
    <col min="13" max="13" width="13.1640625" style="109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79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0.08</v>
      </c>
      <c r="L3" s="12">
        <v>0.06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</v>
      </c>
      <c r="J4" s="12">
        <v>0.15</v>
      </c>
      <c r="K4" s="12">
        <v>0.1</v>
      </c>
      <c r="L4" s="12">
        <v>0.1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10750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2.5000000000000001E-2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08" t="s">
        <v>12</v>
      </c>
      <c r="C10" s="30">
        <v>2022</v>
      </c>
      <c r="D10" s="110">
        <v>2023</v>
      </c>
      <c r="E10" s="110">
        <v>2024</v>
      </c>
      <c r="F10" s="110">
        <v>2025</v>
      </c>
      <c r="G10" s="110">
        <v>2026</v>
      </c>
      <c r="H10" s="110">
        <v>2027</v>
      </c>
      <c r="I10" s="110">
        <v>2028</v>
      </c>
      <c r="J10" s="110">
        <v>2029</v>
      </c>
      <c r="K10" s="110">
        <v>2030</v>
      </c>
      <c r="L10" s="110">
        <v>2031</v>
      </c>
      <c r="M10" s="110">
        <v>2032</v>
      </c>
    </row>
    <row r="11" spans="1:13" ht="18" thickBot="1">
      <c r="A11" s="2"/>
      <c r="B11" s="7" t="s">
        <v>13</v>
      </c>
      <c r="C11" s="32">
        <v>1715</v>
      </c>
      <c r="D11" s="33">
        <f>C11*(1+H3)</f>
        <v>1886.5000000000002</v>
      </c>
      <c r="E11" s="33">
        <f>D11*(1+$I$3)</f>
        <v>2075.1500000000005</v>
      </c>
      <c r="F11" s="33">
        <f>E11*(1+$J$3)</f>
        <v>2282.6650000000009</v>
      </c>
      <c r="G11" s="33">
        <f>F11*(1+$K$3)</f>
        <v>2465.2782000000011</v>
      </c>
      <c r="H11" s="33">
        <f>G11*(1+$L$3)</f>
        <v>2613.1948920000013</v>
      </c>
      <c r="I11" s="33">
        <f>H11*(1+$C$8)</f>
        <v>2678.5247643000012</v>
      </c>
      <c r="J11" s="33">
        <f>I11*(1+$C$8)</f>
        <v>2745.4878834075012</v>
      </c>
      <c r="K11" s="33">
        <f>J11*(1+$C$8)</f>
        <v>2814.1250804926885</v>
      </c>
      <c r="L11" s="33">
        <f>K11*(1+$C$8)</f>
        <v>2884.4782075050057</v>
      </c>
      <c r="M11" s="33">
        <f>L11*(1+$C$8)</f>
        <v>2956.5901626926307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40406.732223465944</v>
      </c>
    </row>
    <row r="13" spans="1:13" ht="20" thickBot="1">
      <c r="A13" s="2"/>
      <c r="B13" s="35" t="s">
        <v>15</v>
      </c>
      <c r="C13" s="34"/>
      <c r="D13" s="33">
        <f t="shared" ref="D13:L13" si="0">D11</f>
        <v>1886.5000000000002</v>
      </c>
      <c r="E13" s="33">
        <f t="shared" si="0"/>
        <v>2075.1500000000005</v>
      </c>
      <c r="F13" s="33">
        <f t="shared" si="0"/>
        <v>2282.6650000000009</v>
      </c>
      <c r="G13" s="33">
        <f t="shared" si="0"/>
        <v>2465.2782000000011</v>
      </c>
      <c r="H13" s="33">
        <f t="shared" si="0"/>
        <v>2613.1948920000013</v>
      </c>
      <c r="I13" s="33">
        <f t="shared" si="0"/>
        <v>2678.5247643000012</v>
      </c>
      <c r="J13" s="33">
        <f t="shared" si="0"/>
        <v>2745.4878834075012</v>
      </c>
      <c r="K13" s="33">
        <f t="shared" si="0"/>
        <v>2814.1250804926885</v>
      </c>
      <c r="L13" s="33">
        <f t="shared" si="0"/>
        <v>2884.4782075050057</v>
      </c>
      <c r="M13" s="60">
        <f>M11+M12</f>
        <v>43363.322386158572</v>
      </c>
    </row>
    <row r="14" spans="1:13" ht="15" thickBot="1">
      <c r="A14" s="2"/>
      <c r="B14" s="36" t="s">
        <v>35</v>
      </c>
      <c r="C14" s="37">
        <f>C11/J5</f>
        <v>0.15953488372093022</v>
      </c>
      <c r="D14" s="37">
        <f>C14*(1+$H$3)/(1+$H$4)</f>
        <v>0.14624031007751939</v>
      </c>
      <c r="E14" s="37">
        <f>D14*(1+$I$3)/(1+$I$4)</f>
        <v>0.13405361757105946</v>
      </c>
      <c r="F14" s="37">
        <f>E14*(1+$J$3)/(1+$J$4)</f>
        <v>0.12822519941579605</v>
      </c>
      <c r="G14" s="37">
        <f>F14*(1+$K$3)/(1+$K$4)</f>
        <v>0.12589383215369068</v>
      </c>
      <c r="H14" s="37">
        <f>G14*(1+$L$3)/(1+$L$4)</f>
        <v>0.12131587462082921</v>
      </c>
      <c r="I14" s="61">
        <f>H14*(1+$C$8)/(1+$J$8)</f>
        <v>0.11842740141557136</v>
      </c>
      <c r="J14" s="61">
        <f>I14*(1+$C$8)/(1+$J$8)</f>
        <v>0.11560770138186727</v>
      </c>
      <c r="K14" s="61">
        <f>J14*(1+$C$8)/(1+$J$8)</f>
        <v>0.11285513706325137</v>
      </c>
      <c r="L14" s="61">
        <f>K14*(1+$C$8)/(1+$J$8)</f>
        <v>0.1101681099903168</v>
      </c>
      <c r="M14" s="61">
        <f>L14*(1+$C$8)/(1+$J$8)</f>
        <v>0.1075450597524521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245.8925351071691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30626.7818181818</v>
      </c>
      <c r="D17" s="40"/>
      <c r="E17" s="459"/>
      <c r="F17" s="459"/>
      <c r="G17" s="459"/>
      <c r="H17" s="6"/>
      <c r="I17" s="6"/>
      <c r="J17" s="6"/>
      <c r="K17" s="6">
        <v>110</v>
      </c>
      <c r="L17" s="6"/>
      <c r="M17" s="6"/>
    </row>
    <row r="18" spans="1:13" ht="18" thickBot="1">
      <c r="A18" s="2"/>
      <c r="B18" s="43" t="s">
        <v>19</v>
      </c>
      <c r="C18" s="44">
        <v>1325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1707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0">
        <f>C17+C18-C19</f>
        <v>30244.7818181818</v>
      </c>
      <c r="D20" s="47"/>
      <c r="E20" s="460" t="s">
        <v>22</v>
      </c>
      <c r="F20" s="461">
        <f>C23</f>
        <v>200.21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123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245.8925351071691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200.21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0.22817309378736869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5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67DDE-202E-8E4F-B28E-559B747767FC}">
  <dimension ref="A1:M32"/>
  <sheetViews>
    <sheetView zoomScale="131" workbookViewId="0">
      <selection activeCell="D11" sqref="D11"/>
    </sheetView>
  </sheetViews>
  <sheetFormatPr baseColWidth="10" defaultColWidth="9" defaultRowHeight="14"/>
  <cols>
    <col min="2" max="2" width="20.1640625" customWidth="1"/>
    <col min="3" max="3" width="16.33203125" style="109" customWidth="1"/>
    <col min="4" max="4" width="12.5" style="109" customWidth="1"/>
    <col min="5" max="6" width="9.1640625" style="109" bestFit="1" customWidth="1"/>
    <col min="7" max="7" width="21.83203125" style="109" customWidth="1"/>
    <col min="8" max="8" width="9.1640625" style="109" bestFit="1" customWidth="1"/>
    <col min="9" max="9" width="15.6640625" style="109" customWidth="1"/>
    <col min="10" max="12" width="9.1640625" style="109" bestFit="1" customWidth="1"/>
    <col min="13" max="13" width="13.1640625" style="109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81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</v>
      </c>
      <c r="J4" s="12">
        <v>0.15</v>
      </c>
      <c r="K4" s="12">
        <v>0.1</v>
      </c>
      <c r="L4" s="12">
        <v>0.1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51581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08" t="s">
        <v>12</v>
      </c>
      <c r="C10" s="30">
        <v>2022</v>
      </c>
      <c r="D10" s="110">
        <v>2023</v>
      </c>
      <c r="E10" s="110">
        <v>2024</v>
      </c>
      <c r="F10" s="110">
        <v>2025</v>
      </c>
      <c r="G10" s="110">
        <v>2026</v>
      </c>
      <c r="H10" s="110">
        <v>2027</v>
      </c>
      <c r="I10" s="110">
        <v>2028</v>
      </c>
      <c r="J10" s="110">
        <v>2029</v>
      </c>
      <c r="K10" s="110">
        <v>2030</v>
      </c>
      <c r="L10" s="110">
        <v>2031</v>
      </c>
      <c r="M10" s="110">
        <v>2032</v>
      </c>
    </row>
    <row r="11" spans="1:13" ht="18" thickBot="1">
      <c r="A11" s="2"/>
      <c r="B11" s="7" t="s">
        <v>13</v>
      </c>
      <c r="C11" s="32">
        <v>6195</v>
      </c>
      <c r="D11" s="33">
        <f>C11*(1+H3)</f>
        <v>6814.5000000000009</v>
      </c>
      <c r="E11" s="33">
        <f>D11*(1+$I$3)</f>
        <v>7495.9500000000016</v>
      </c>
      <c r="F11" s="33">
        <f>E11*(1+$J$3)</f>
        <v>8245.5450000000019</v>
      </c>
      <c r="G11" s="33">
        <f>F11*(1+$K$3)</f>
        <v>9070.0995000000021</v>
      </c>
      <c r="H11" s="33">
        <f>G11*(1+$L$3)</f>
        <v>9977.1094500000036</v>
      </c>
      <c r="I11" s="33">
        <f>H11*(1+$C$8)</f>
        <v>10775.278206000005</v>
      </c>
      <c r="J11" s="33">
        <f>I11*(1+$C$8)</f>
        <v>11637.300462480005</v>
      </c>
      <c r="K11" s="33">
        <f>J11*(1+$C$8)</f>
        <v>12568.284499478406</v>
      </c>
      <c r="L11" s="33">
        <f>K11*(1+$C$8)</f>
        <v>13573.747259436679</v>
      </c>
      <c r="M11" s="33">
        <f>L11*(1+$C$8)</f>
        <v>14659.647040191614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200348.50954928534</v>
      </c>
    </row>
    <row r="13" spans="1:13" ht="20" thickBot="1">
      <c r="A13" s="2"/>
      <c r="B13" s="35" t="s">
        <v>15</v>
      </c>
      <c r="C13" s="34"/>
      <c r="D13" s="33">
        <f t="shared" ref="D13:L13" si="0">D11</f>
        <v>6814.5000000000009</v>
      </c>
      <c r="E13" s="33">
        <f t="shared" si="0"/>
        <v>7495.9500000000016</v>
      </c>
      <c r="F13" s="33">
        <f t="shared" si="0"/>
        <v>8245.5450000000019</v>
      </c>
      <c r="G13" s="33">
        <f t="shared" si="0"/>
        <v>9070.0995000000021</v>
      </c>
      <c r="H13" s="33">
        <f t="shared" si="0"/>
        <v>9977.1094500000036</v>
      </c>
      <c r="I13" s="33">
        <f t="shared" si="0"/>
        <v>10775.278206000005</v>
      </c>
      <c r="J13" s="33">
        <f t="shared" si="0"/>
        <v>11637.300462480005</v>
      </c>
      <c r="K13" s="33">
        <f t="shared" si="0"/>
        <v>12568.284499478406</v>
      </c>
      <c r="L13" s="33">
        <f t="shared" si="0"/>
        <v>13573.747259436679</v>
      </c>
      <c r="M13" s="60">
        <f>M11+M12</f>
        <v>215008.15658947694</v>
      </c>
    </row>
    <row r="14" spans="1:13" ht="15" thickBot="1">
      <c r="A14" s="2"/>
      <c r="B14" s="36" t="s">
        <v>35</v>
      </c>
      <c r="C14" s="37">
        <f>C11/J5</f>
        <v>0.1201023632732983</v>
      </c>
      <c r="D14" s="37">
        <f>C14*(1+$H$3)/(1+$H$4)</f>
        <v>0.11009383300052347</v>
      </c>
      <c r="E14" s="37">
        <f>D14*(1+$I$3)/(1+$I$4)</f>
        <v>0.10091934691714653</v>
      </c>
      <c r="F14" s="37">
        <f>E14*(1+$J$3)/(1+$J$4)</f>
        <v>9.6531549225096699E-2</v>
      </c>
      <c r="G14" s="37">
        <f>F14*(1+$K$3)/(1+$K$4)</f>
        <v>9.6531549225096699E-2</v>
      </c>
      <c r="H14" s="37">
        <f>G14*(1+$L$3)/(1+$L$4)</f>
        <v>9.6531549225096699E-2</v>
      </c>
      <c r="I14" s="61">
        <f>H14*(1+$C$8)/(1+$J$8)</f>
        <v>9.9289593488670891E-2</v>
      </c>
      <c r="J14" s="61">
        <f>I14*(1+$C$8)/(1+$J$8)</f>
        <v>0.10212643901691863</v>
      </c>
      <c r="K14" s="61">
        <f>J14*(1+$C$8)/(1+$J$8)</f>
        <v>0.10504433727454489</v>
      </c>
      <c r="L14" s="61">
        <f>K14*(1+$C$8)/(1+$J$8)</f>
        <v>0.10804560405381759</v>
      </c>
      <c r="M14" s="61">
        <f>L14*(1+$C$8)/(1+$J$8)</f>
        <v>0.1111326213124981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89.073924131867273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137543.88214936134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10573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12101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0">
        <f>C17+C18-C19</f>
        <v>136015.88214936134</v>
      </c>
      <c r="D20" s="47"/>
      <c r="E20" s="460" t="s">
        <v>22</v>
      </c>
      <c r="F20" s="461">
        <f>C23</f>
        <v>75.430000000000007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1527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89.073924131867273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75.430000000000007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0.18088193201467936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A85D0-0BA4-D14E-B12C-286C7E0A7178}">
  <dimension ref="A1:M32"/>
  <sheetViews>
    <sheetView zoomScale="119" workbookViewId="0">
      <selection activeCell="H21" sqref="H21"/>
    </sheetView>
  </sheetViews>
  <sheetFormatPr baseColWidth="10" defaultColWidth="9" defaultRowHeight="14"/>
  <cols>
    <col min="2" max="2" width="20.1640625" customWidth="1"/>
    <col min="3" max="3" width="16.33203125" style="112" customWidth="1"/>
    <col min="4" max="4" width="12.5" style="112" customWidth="1"/>
    <col min="5" max="6" width="9.1640625" style="112" bestFit="1" customWidth="1"/>
    <col min="7" max="7" width="21.83203125" style="112" customWidth="1"/>
    <col min="8" max="8" width="9.1640625" style="112" bestFit="1" customWidth="1"/>
    <col min="9" max="9" width="15.6640625" style="112" customWidth="1"/>
    <col min="10" max="12" width="9.1640625" style="112" bestFit="1" customWidth="1"/>
    <col min="13" max="13" width="13.1640625" style="112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83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0.4</v>
      </c>
      <c r="J3" s="12">
        <v>0.35</v>
      </c>
      <c r="K3" s="12">
        <v>0.3</v>
      </c>
      <c r="L3" s="12">
        <v>0.25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2258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11" t="s">
        <v>12</v>
      </c>
      <c r="C10" s="30">
        <v>2022</v>
      </c>
      <c r="D10" s="113">
        <v>2023</v>
      </c>
      <c r="E10" s="113">
        <v>2024</v>
      </c>
      <c r="F10" s="113">
        <v>2025</v>
      </c>
      <c r="G10" s="113">
        <v>2026</v>
      </c>
      <c r="H10" s="113">
        <v>2027</v>
      </c>
      <c r="I10" s="113">
        <v>2028</v>
      </c>
      <c r="J10" s="113">
        <v>2029</v>
      </c>
      <c r="K10" s="113">
        <v>2030</v>
      </c>
      <c r="L10" s="113">
        <v>2031</v>
      </c>
      <c r="M10" s="113">
        <v>2032</v>
      </c>
    </row>
    <row r="11" spans="1:13" ht="18" thickBot="1">
      <c r="A11" s="2"/>
      <c r="B11" s="7" t="s">
        <v>13</v>
      </c>
      <c r="C11" s="32">
        <v>667.96</v>
      </c>
      <c r="D11" s="33">
        <f>C11*(1+H3)</f>
        <v>1001.94</v>
      </c>
      <c r="E11" s="33">
        <f>D11*(1+$I$3)</f>
        <v>1402.7159999999999</v>
      </c>
      <c r="F11" s="33">
        <f>E11*(1+$J$3)</f>
        <v>1893.6666</v>
      </c>
      <c r="G11" s="33">
        <f>F11*(1+$K$3)</f>
        <v>2461.76658</v>
      </c>
      <c r="H11" s="33">
        <f>G11*(1+$L$3)</f>
        <v>3077.2082249999999</v>
      </c>
      <c r="I11" s="33">
        <f>H11*(1+$C$8)</f>
        <v>3323.3848830000002</v>
      </c>
      <c r="J11" s="33">
        <f>I11*(1+$C$8)</f>
        <v>3589.2556736400006</v>
      </c>
      <c r="K11" s="33">
        <f>J11*(1+$C$8)</f>
        <v>3876.3961275312008</v>
      </c>
      <c r="L11" s="33">
        <f>K11*(1+$C$8)</f>
        <v>4186.5078177336973</v>
      </c>
      <c r="M11" s="33">
        <f>L11*(1+$C$8)</f>
        <v>4521.4284431523929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61792.855389749348</v>
      </c>
    </row>
    <row r="13" spans="1:13" ht="20" thickBot="1">
      <c r="A13" s="2"/>
      <c r="B13" s="35" t="s">
        <v>15</v>
      </c>
      <c r="C13" s="34"/>
      <c r="D13" s="33">
        <f t="shared" ref="D13:L13" si="0">D11</f>
        <v>1001.94</v>
      </c>
      <c r="E13" s="33">
        <f t="shared" si="0"/>
        <v>1402.7159999999999</v>
      </c>
      <c r="F13" s="33">
        <f t="shared" si="0"/>
        <v>1893.6666</v>
      </c>
      <c r="G13" s="33">
        <f t="shared" si="0"/>
        <v>2461.76658</v>
      </c>
      <c r="H13" s="33">
        <f t="shared" si="0"/>
        <v>3077.2082249999999</v>
      </c>
      <c r="I13" s="33">
        <f t="shared" si="0"/>
        <v>3323.3848830000002</v>
      </c>
      <c r="J13" s="33">
        <f t="shared" si="0"/>
        <v>3589.2556736400006</v>
      </c>
      <c r="K13" s="33">
        <f t="shared" si="0"/>
        <v>3876.3961275312008</v>
      </c>
      <c r="L13" s="33">
        <f t="shared" si="0"/>
        <v>4186.5078177336973</v>
      </c>
      <c r="M13" s="60">
        <f>M11+M12</f>
        <v>66314.28383290174</v>
      </c>
    </row>
    <row r="14" spans="1:13" ht="15" thickBot="1">
      <c r="A14" s="2"/>
      <c r="B14" s="36" t="s">
        <v>35</v>
      </c>
      <c r="C14" s="37">
        <f>C11/J5</f>
        <v>0.29581930912311782</v>
      </c>
      <c r="D14" s="37">
        <f>C14*(1+$H$3)/(1+$H$4)</f>
        <v>0.34132997206513593</v>
      </c>
      <c r="E14" s="37">
        <f>D14*(1+$I$3)/(1+$I$4)</f>
        <v>0.36758612376245403</v>
      </c>
      <c r="F14" s="37">
        <f>E14*(1+$J$3)/(1+$J$4)</f>
        <v>0.41353438923276081</v>
      </c>
      <c r="G14" s="37">
        <f>F14*(1+$K$3)/(1+$K$4)</f>
        <v>0.44799558833549091</v>
      </c>
      <c r="H14" s="37">
        <f>G14*(1+$L$3)/(1+$L$4)</f>
        <v>0.46666207118280312</v>
      </c>
      <c r="I14" s="61">
        <f>H14*(1+$C$8)/(1+$J$8)</f>
        <v>0.45817730625220671</v>
      </c>
      <c r="J14" s="61">
        <f>I14*(1+$C$8)/(1+$J$8)</f>
        <v>0.44984680977489383</v>
      </c>
      <c r="K14" s="61">
        <f>J14*(1+$C$8)/(1+$J$8)</f>
        <v>0.44166777686989572</v>
      </c>
      <c r="L14" s="61">
        <f>K14*(1+$C$8)/(1+$J$8)</f>
        <v>0.43363745365407941</v>
      </c>
      <c r="M14" s="61">
        <f>L14*(1+$C$8)/(1+$J$8)</f>
        <v>0.42575313631491429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117.35146052620762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39953.689947329913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2781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957.57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3">
        <f>C17+C18-C19</f>
        <v>41777.119947329913</v>
      </c>
      <c r="D20" s="47"/>
      <c r="E20" s="460" t="s">
        <v>22</v>
      </c>
      <c r="F20" s="461">
        <f>C23</f>
        <v>127.19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356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117.35146052620762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127.19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-7.735308965950452E-2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1D656-CC28-B040-A8F3-5AD0991C126A}">
  <dimension ref="A1:M32"/>
  <sheetViews>
    <sheetView zoomScale="136" workbookViewId="0">
      <selection activeCell="D39" sqref="D39"/>
    </sheetView>
  </sheetViews>
  <sheetFormatPr baseColWidth="10" defaultColWidth="9" defaultRowHeight="14"/>
  <cols>
    <col min="2" max="2" width="20.1640625" customWidth="1"/>
    <col min="3" max="3" width="16.33203125" style="130" customWidth="1"/>
    <col min="4" max="4" width="12.5" style="130" customWidth="1"/>
    <col min="5" max="6" width="9.1640625" style="130" bestFit="1" customWidth="1"/>
    <col min="7" max="7" width="21.83203125" style="130" customWidth="1"/>
    <col min="8" max="8" width="9.1640625" style="130" bestFit="1" customWidth="1"/>
    <col min="9" max="9" width="15.6640625" style="130" customWidth="1"/>
    <col min="10" max="12" width="9.1640625" style="130" bestFit="1" customWidth="1"/>
    <col min="13" max="13" width="13.1640625" style="13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91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0.3</v>
      </c>
      <c r="I3" s="12">
        <v>0.25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8895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29" t="s">
        <v>12</v>
      </c>
      <c r="C10" s="30">
        <v>2022</v>
      </c>
      <c r="D10" s="131">
        <v>2023</v>
      </c>
      <c r="E10" s="131">
        <v>2024</v>
      </c>
      <c r="F10" s="131">
        <v>2025</v>
      </c>
      <c r="G10" s="131">
        <v>2026</v>
      </c>
      <c r="H10" s="131">
        <v>2027</v>
      </c>
      <c r="I10" s="131">
        <v>2028</v>
      </c>
      <c r="J10" s="131">
        <v>2029</v>
      </c>
      <c r="K10" s="131">
        <v>2030</v>
      </c>
      <c r="L10" s="131">
        <v>2031</v>
      </c>
      <c r="M10" s="131">
        <v>2032</v>
      </c>
    </row>
    <row r="11" spans="1:13" ht="18" thickBot="1">
      <c r="A11" s="2"/>
      <c r="B11" s="7" t="s">
        <v>13</v>
      </c>
      <c r="C11" s="32">
        <v>1778</v>
      </c>
      <c r="D11" s="33">
        <f>C11*(1+H3)</f>
        <v>2311.4</v>
      </c>
      <c r="E11" s="33">
        <f>D11*(1+$I$3)</f>
        <v>2889.25</v>
      </c>
      <c r="F11" s="33">
        <f>E11*(1+$J$3)</f>
        <v>3467.1</v>
      </c>
      <c r="G11" s="33">
        <f>F11*(1+$K$3)</f>
        <v>4160.5199999999995</v>
      </c>
      <c r="H11" s="33">
        <f>G11*(1+$L$3)</f>
        <v>4992.6239999999989</v>
      </c>
      <c r="I11" s="33">
        <f>H11*(1+$C$8)</f>
        <v>5392.0339199999989</v>
      </c>
      <c r="J11" s="33">
        <f>I11*(1+$C$8)</f>
        <v>5823.3966335999994</v>
      </c>
      <c r="K11" s="33">
        <f>J11*(1+$C$8)</f>
        <v>6289.2683642880002</v>
      </c>
      <c r="L11" s="33">
        <f>K11*(1+$C$8)</f>
        <v>6792.4098334310402</v>
      </c>
      <c r="M11" s="33">
        <f>L11*(1+$C$8)</f>
        <v>7335.8026201055236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100255.96914144212</v>
      </c>
    </row>
    <row r="13" spans="1:13" ht="20" thickBot="1">
      <c r="A13" s="2"/>
      <c r="B13" s="35" t="s">
        <v>15</v>
      </c>
      <c r="C13" s="34"/>
      <c r="D13" s="33">
        <f t="shared" ref="D13:L13" si="0">D11</f>
        <v>2311.4</v>
      </c>
      <c r="E13" s="33">
        <f t="shared" si="0"/>
        <v>2889.25</v>
      </c>
      <c r="F13" s="33">
        <f t="shared" si="0"/>
        <v>3467.1</v>
      </c>
      <c r="G13" s="33">
        <f t="shared" si="0"/>
        <v>4160.5199999999995</v>
      </c>
      <c r="H13" s="33">
        <f t="shared" si="0"/>
        <v>4992.6239999999989</v>
      </c>
      <c r="I13" s="33">
        <f t="shared" si="0"/>
        <v>5392.0339199999989</v>
      </c>
      <c r="J13" s="33">
        <f t="shared" si="0"/>
        <v>5823.3966335999994</v>
      </c>
      <c r="K13" s="33">
        <f t="shared" si="0"/>
        <v>6289.2683642880002</v>
      </c>
      <c r="L13" s="33">
        <f t="shared" si="0"/>
        <v>6792.4098334310402</v>
      </c>
      <c r="M13" s="60">
        <f>M11+M12</f>
        <v>107591.77176154764</v>
      </c>
    </row>
    <row r="14" spans="1:13" ht="15" thickBot="1">
      <c r="A14" s="2"/>
      <c r="B14" s="36" t="s">
        <v>35</v>
      </c>
      <c r="C14" s="37">
        <f>C11/J5</f>
        <v>0.19988757729061271</v>
      </c>
      <c r="D14" s="37">
        <f>C14*(1+$H$3)/(1+$H$4)</f>
        <v>0.19988757729061271</v>
      </c>
      <c r="E14" s="37">
        <f>D14*(1+$I$3)/(1+$I$4)</f>
        <v>0.19219959354866606</v>
      </c>
      <c r="F14" s="37">
        <f>E14*(1+$J$3)/(1+$J$4)</f>
        <v>0.19219959354866606</v>
      </c>
      <c r="G14" s="37">
        <f>F14*(1+$K$3)/(1+$K$4)</f>
        <v>0.19219959354866606</v>
      </c>
      <c r="H14" s="37">
        <f>G14*(1+$L$3)/(1+$L$4)</f>
        <v>0.19219959354866606</v>
      </c>
      <c r="I14" s="61">
        <f>H14*(1+$C$8)/(1+$J$8)</f>
        <v>0.18870505548414487</v>
      </c>
      <c r="J14" s="61">
        <f>I14*(1+$C$8)/(1+$J$8)</f>
        <v>0.18527405447534226</v>
      </c>
      <c r="K14" s="61">
        <f>J14*(1+$C$8)/(1+$J$8)</f>
        <v>0.1819054353030633</v>
      </c>
      <c r="L14" s="61">
        <f>K14*(1+$C$8)/(1+$J$8)</f>
        <v>0.1785980637520985</v>
      </c>
      <c r="M14" s="61">
        <f>L14*(1+$C$8)/(1+$J$8)</f>
        <v>0.17535082622933307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3056.2185909384548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66363.590409707554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2087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4270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31">
        <f>C17+C18-C19</f>
        <v>64180.590409707554</v>
      </c>
      <c r="D20" s="47"/>
      <c r="E20" s="460" t="s">
        <v>22</v>
      </c>
      <c r="F20" s="461">
        <f>C23</f>
        <v>3146.4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21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3056.2185909384548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3146.4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-2.8661775064055844E-2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D0D6-FEEB-9544-8F18-DE78D279EC7B}">
  <dimension ref="A1:M32"/>
  <sheetViews>
    <sheetView topLeftCell="A2" zoomScale="125" workbookViewId="0">
      <selection activeCell="I25" sqref="I25"/>
    </sheetView>
  </sheetViews>
  <sheetFormatPr baseColWidth="10" defaultColWidth="9" defaultRowHeight="14"/>
  <cols>
    <col min="2" max="2" width="20.1640625" customWidth="1"/>
    <col min="3" max="3" width="16.33203125" style="115" customWidth="1"/>
    <col min="4" max="4" width="12.5" style="115" customWidth="1"/>
    <col min="5" max="6" width="9.1640625" style="115" bestFit="1" customWidth="1"/>
    <col min="7" max="7" width="21.83203125" style="115" customWidth="1"/>
    <col min="8" max="8" width="9.1640625" style="115" bestFit="1" customWidth="1"/>
    <col min="9" max="9" width="15.6640625" style="115" customWidth="1"/>
    <col min="10" max="12" width="9.1640625" style="115" bestFit="1" customWidth="1"/>
    <col min="13" max="13" width="13.1640625" style="115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84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0.01</v>
      </c>
      <c r="I3" s="12">
        <v>0.01</v>
      </c>
      <c r="J3" s="12">
        <v>0.01</v>
      </c>
      <c r="K3" s="12">
        <v>0.01</v>
      </c>
      <c r="L3" s="12">
        <v>0.01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4563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14" t="s">
        <v>12</v>
      </c>
      <c r="C10" s="30">
        <v>2022</v>
      </c>
      <c r="D10" s="116">
        <v>2023</v>
      </c>
      <c r="E10" s="116">
        <v>2024</v>
      </c>
      <c r="F10" s="116">
        <v>2025</v>
      </c>
      <c r="G10" s="116">
        <v>2026</v>
      </c>
      <c r="H10" s="116">
        <v>2027</v>
      </c>
      <c r="I10" s="116">
        <v>2028</v>
      </c>
      <c r="J10" s="116">
        <v>2029</v>
      </c>
      <c r="K10" s="116">
        <v>2030</v>
      </c>
      <c r="L10" s="116">
        <v>2031</v>
      </c>
      <c r="M10" s="116">
        <v>2032</v>
      </c>
    </row>
    <row r="11" spans="1:13" ht="18" thickBot="1">
      <c r="A11" s="2"/>
      <c r="B11" s="7" t="s">
        <v>13</v>
      </c>
      <c r="C11" s="32">
        <v>1645</v>
      </c>
      <c r="D11" s="33">
        <f>C11*(1+H3)</f>
        <v>1661.45</v>
      </c>
      <c r="E11" s="33">
        <f>D11*(1+$I$3)</f>
        <v>1678.0645</v>
      </c>
      <c r="F11" s="33">
        <f>E11*(1+$J$3)</f>
        <v>1694.845145</v>
      </c>
      <c r="G11" s="33">
        <f>F11*(1+$K$3)</f>
        <v>1711.79359645</v>
      </c>
      <c r="H11" s="33">
        <f>G11*(1+$L$3)</f>
        <v>1728.9115324145</v>
      </c>
      <c r="I11" s="33">
        <f>H11*(1+$C$8)</f>
        <v>1746.2006477386451</v>
      </c>
      <c r="J11" s="33">
        <f>I11*(1+$C$8)</f>
        <v>1763.6626542160316</v>
      </c>
      <c r="K11" s="33">
        <f>J11*(1+$C$8)</f>
        <v>1781.2992807581918</v>
      </c>
      <c r="L11" s="33">
        <f>K11*(1+$C$8)</f>
        <v>1799.1122735657736</v>
      </c>
      <c r="M11" s="33">
        <f>L11*(1+$C$8)</f>
        <v>1817.1033963014313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24833.746416119557</v>
      </c>
    </row>
    <row r="13" spans="1:13" ht="20" thickBot="1">
      <c r="A13" s="2"/>
      <c r="B13" s="35" t="s">
        <v>15</v>
      </c>
      <c r="C13" s="34"/>
      <c r="D13" s="33">
        <f t="shared" ref="D13:L13" si="0">D11</f>
        <v>1661.45</v>
      </c>
      <c r="E13" s="33">
        <f t="shared" si="0"/>
        <v>1678.0645</v>
      </c>
      <c r="F13" s="33">
        <f t="shared" si="0"/>
        <v>1694.845145</v>
      </c>
      <c r="G13" s="33">
        <f t="shared" si="0"/>
        <v>1711.79359645</v>
      </c>
      <c r="H13" s="33">
        <f t="shared" si="0"/>
        <v>1728.9115324145</v>
      </c>
      <c r="I13" s="33">
        <f t="shared" si="0"/>
        <v>1746.2006477386451</v>
      </c>
      <c r="J13" s="33">
        <f t="shared" si="0"/>
        <v>1763.6626542160316</v>
      </c>
      <c r="K13" s="33">
        <f t="shared" si="0"/>
        <v>1781.2992807581918</v>
      </c>
      <c r="L13" s="33">
        <f t="shared" si="0"/>
        <v>1799.1122735657736</v>
      </c>
      <c r="M13" s="60">
        <f>M11+M12</f>
        <v>26650.849812420987</v>
      </c>
    </row>
    <row r="14" spans="1:13" ht="15" thickBot="1">
      <c r="A14" s="2"/>
      <c r="B14" s="36" t="s">
        <v>35</v>
      </c>
      <c r="C14" s="37">
        <f>C11/J5</f>
        <v>0.36050843743151434</v>
      </c>
      <c r="D14" s="37">
        <f>C14*(1+$H$3)/(1+$H$4)</f>
        <v>0.28008732446602269</v>
      </c>
      <c r="E14" s="37">
        <f>D14*(1+$I$3)/(1+$I$4)</f>
        <v>0.21760630593129454</v>
      </c>
      <c r="F14" s="37">
        <f>E14*(1+$J$3)/(1+$J$4)</f>
        <v>0.18315197415883958</v>
      </c>
      <c r="G14" s="37">
        <f>F14*(1+$K$3)/(1+$K$4)</f>
        <v>0.15415291158368999</v>
      </c>
      <c r="H14" s="37">
        <f>G14*(1+$L$3)/(1+$L$4)</f>
        <v>0.12974536724960575</v>
      </c>
      <c r="I14" s="61">
        <f>H14*(1+$C$8)/(1+$J$8)</f>
        <v>0.11912983720191073</v>
      </c>
      <c r="J14" s="61">
        <f>I14*(1+$C$8)/(1+$J$8)</f>
        <v>0.10938285052175438</v>
      </c>
      <c r="K14" s="61">
        <f>J14*(1+$C$8)/(1+$J$8)</f>
        <v>0.10043334456997446</v>
      </c>
      <c r="L14" s="61">
        <f>K14*(1+$C$8)/(1+$J$8)</f>
        <v>9.2216070923340193E-2</v>
      </c>
      <c r="M14" s="61">
        <f>L14*(1+$C$8)/(1+$J$8)</f>
        <v>8.4671119665975986E-2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87.323126791590724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20173.064939351076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7374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40.28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6">
        <f>C17+C18-C19</f>
        <v>27506.784939351077</v>
      </c>
      <c r="D20" s="47"/>
      <c r="E20" s="460" t="s">
        <v>22</v>
      </c>
      <c r="F20" s="461">
        <f>C23</f>
        <v>57.58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315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87.323126791590724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57.58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0.51655308773169029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49325-6356-D64A-8009-AB7119E65341}">
  <dimension ref="A1:M36"/>
  <sheetViews>
    <sheetView topLeftCell="B1" zoomScale="110" workbookViewId="0">
      <selection activeCell="G29" sqref="G29"/>
    </sheetView>
  </sheetViews>
  <sheetFormatPr baseColWidth="10" defaultColWidth="9" defaultRowHeight="14"/>
  <cols>
    <col min="2" max="2" width="26" customWidth="1"/>
    <col min="3" max="3" width="21.83203125" style="447" customWidth="1"/>
    <col min="4" max="4" width="12.5" style="447" customWidth="1"/>
    <col min="5" max="5" width="15.6640625" style="447" customWidth="1"/>
    <col min="6" max="6" width="21.5" style="447" bestFit="1" customWidth="1"/>
    <col min="7" max="7" width="21.83203125" style="447" customWidth="1"/>
    <col min="8" max="8" width="12" style="447" bestFit="1" customWidth="1"/>
    <col min="9" max="9" width="15.6640625" style="447" customWidth="1"/>
    <col min="10" max="12" width="12" style="447" bestFit="1" customWidth="1"/>
    <col min="13" max="13" width="15" style="447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thickTop="1" thickBot="1">
      <c r="A2" s="2"/>
      <c r="B2" s="4" t="s">
        <v>0</v>
      </c>
      <c r="C2" s="5" t="s">
        <v>148</v>
      </c>
      <c r="E2" s="10"/>
      <c r="F2" s="450">
        <v>2025</v>
      </c>
      <c r="G2" s="450">
        <v>2026</v>
      </c>
      <c r="H2" s="450">
        <v>2027</v>
      </c>
      <c r="I2" s="450">
        <v>2028</v>
      </c>
      <c r="J2" s="450">
        <v>2029</v>
      </c>
      <c r="K2" s="6"/>
      <c r="L2" s="6"/>
      <c r="M2" s="6"/>
    </row>
    <row r="3" spans="1:13" ht="18" thickBot="1">
      <c r="A3" s="2"/>
      <c r="B3" s="7" t="s">
        <v>209</v>
      </c>
      <c r="C3" s="33" t="s">
        <v>247</v>
      </c>
      <c r="D3" s="6"/>
      <c r="E3" s="58" t="s">
        <v>248</v>
      </c>
      <c r="F3" s="59">
        <v>0.05</v>
      </c>
      <c r="G3" s="59">
        <v>0.05</v>
      </c>
      <c r="H3" s="59">
        <v>0.05</v>
      </c>
      <c r="I3" s="59">
        <v>0.05</v>
      </c>
      <c r="J3" s="59">
        <v>0.05</v>
      </c>
      <c r="M3" s="6"/>
    </row>
    <row r="4" spans="1:13" ht="18" thickBot="1">
      <c r="A4" s="2"/>
      <c r="B4" s="7" t="s">
        <v>210</v>
      </c>
      <c r="C4" s="13">
        <v>2.5000000000000001E-2</v>
      </c>
      <c r="D4" s="6"/>
      <c r="E4" s="58" t="s">
        <v>251</v>
      </c>
      <c r="F4" s="59">
        <v>0.06</v>
      </c>
      <c r="G4" s="59">
        <v>0.05</v>
      </c>
      <c r="H4" s="59">
        <v>0.05</v>
      </c>
      <c r="I4" s="59">
        <v>0.05</v>
      </c>
      <c r="J4" s="59">
        <v>0.05</v>
      </c>
      <c r="M4" s="6"/>
    </row>
    <row r="5" spans="1:13" ht="17" customHeight="1" thickBot="1">
      <c r="A5" s="2"/>
      <c r="B5" s="17" t="s">
        <v>211</v>
      </c>
      <c r="C5" s="13">
        <v>0.1</v>
      </c>
      <c r="D5" s="6"/>
      <c r="E5" s="18"/>
      <c r="F5" s="15"/>
      <c r="G5" s="19"/>
      <c r="H5" s="6"/>
      <c r="K5" s="6"/>
      <c r="L5" s="6"/>
      <c r="M5" s="6"/>
    </row>
    <row r="6" spans="1:13" ht="21" customHeight="1" thickTop="1" thickBot="1">
      <c r="A6" s="2"/>
      <c r="B6" s="7" t="s">
        <v>212</v>
      </c>
      <c r="C6" s="13">
        <v>0.1</v>
      </c>
      <c r="D6" s="6"/>
      <c r="G6" s="10"/>
      <c r="H6" s="6"/>
      <c r="K6" s="6"/>
      <c r="L6" s="6"/>
      <c r="M6" s="6"/>
    </row>
    <row r="7" spans="1:13" ht="19" thickTop="1" thickBot="1">
      <c r="A7" s="2"/>
      <c r="B7" s="7" t="s">
        <v>213</v>
      </c>
      <c r="C7" s="20">
        <v>0.20930000000000001</v>
      </c>
      <c r="D7" s="6"/>
      <c r="E7" s="57" t="s">
        <v>249</v>
      </c>
      <c r="F7" s="32">
        <v>2475</v>
      </c>
      <c r="G7" s="10"/>
      <c r="H7" s="6"/>
      <c r="K7" s="6"/>
      <c r="L7" s="6"/>
      <c r="M7" s="6"/>
    </row>
    <row r="8" spans="1:13" ht="15" customHeight="1" thickTop="1" thickBot="1">
      <c r="A8" s="2"/>
      <c r="B8" s="513" t="s">
        <v>250</v>
      </c>
      <c r="C8" s="25">
        <v>0.03</v>
      </c>
      <c r="D8" s="6"/>
      <c r="E8" s="58" t="s">
        <v>223</v>
      </c>
      <c r="F8" s="59">
        <v>0.05</v>
      </c>
      <c r="G8" s="10"/>
      <c r="H8" s="6"/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49" t="s">
        <v>12</v>
      </c>
      <c r="C10" s="450">
        <v>2025</v>
      </c>
      <c r="D10" s="450">
        <v>2026</v>
      </c>
      <c r="E10" s="450">
        <v>2027</v>
      </c>
      <c r="F10" s="450">
        <v>2028</v>
      </c>
      <c r="G10" s="450">
        <v>2029</v>
      </c>
      <c r="H10" s="450">
        <v>2030</v>
      </c>
      <c r="I10" s="450">
        <v>2031</v>
      </c>
      <c r="J10" s="450">
        <v>2032</v>
      </c>
      <c r="K10" s="450">
        <v>2033</v>
      </c>
      <c r="L10" s="450">
        <v>2034</v>
      </c>
      <c r="M10" s="450">
        <v>2035</v>
      </c>
    </row>
    <row r="11" spans="1:13" ht="18" thickBot="1">
      <c r="A11" s="2"/>
      <c r="B11" s="7" t="s">
        <v>215</v>
      </c>
      <c r="C11" s="32">
        <v>377.62</v>
      </c>
      <c r="D11" s="33">
        <f>C11*(1+F3)</f>
        <v>396.50100000000003</v>
      </c>
      <c r="E11" s="33">
        <f>D11*(1+$G$3)</f>
        <v>416.32605000000007</v>
      </c>
      <c r="F11" s="33">
        <f>E11*(1+$H$3)</f>
        <v>437.14235250000007</v>
      </c>
      <c r="G11" s="33">
        <f>F11*(1+$I$3)</f>
        <v>458.99947012500007</v>
      </c>
      <c r="H11" s="33">
        <f>G11*(1+$J$3)</f>
        <v>481.94944363125012</v>
      </c>
      <c r="I11" s="33">
        <f>H11*(1+$C$8)</f>
        <v>496.40792694018762</v>
      </c>
      <c r="J11" s="33">
        <f>I11*(1+$C$8)</f>
        <v>511.30016474839329</v>
      </c>
      <c r="K11" s="33">
        <f>J11*(1+$C$8)</f>
        <v>526.63916969084505</v>
      </c>
      <c r="L11" s="33">
        <f>K11*(1+$C$8)</f>
        <v>542.43834478157044</v>
      </c>
      <c r="M11" s="33">
        <f>L11*(1+$C$8)</f>
        <v>558.71149512501756</v>
      </c>
    </row>
    <row r="12" spans="1:13" ht="18" thickBot="1">
      <c r="A12" s="2"/>
      <c r="B12" s="17" t="s">
        <v>216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7635.7237667085719</v>
      </c>
    </row>
    <row r="13" spans="1:13" ht="20" thickBot="1">
      <c r="A13" s="2"/>
      <c r="B13" s="35" t="s">
        <v>217</v>
      </c>
      <c r="C13" s="34"/>
      <c r="D13" s="33">
        <f t="shared" ref="D13:L13" si="0">D11</f>
        <v>396.50100000000003</v>
      </c>
      <c r="E13" s="33">
        <f t="shared" si="0"/>
        <v>416.32605000000007</v>
      </c>
      <c r="F13" s="33">
        <f t="shared" si="0"/>
        <v>437.14235250000007</v>
      </c>
      <c r="G13" s="33">
        <f t="shared" si="0"/>
        <v>458.99947012500007</v>
      </c>
      <c r="H13" s="33">
        <f t="shared" si="0"/>
        <v>481.94944363125012</v>
      </c>
      <c r="I13" s="33">
        <f t="shared" si="0"/>
        <v>496.40792694018762</v>
      </c>
      <c r="J13" s="33">
        <f t="shared" si="0"/>
        <v>511.30016474839329</v>
      </c>
      <c r="K13" s="33">
        <f t="shared" si="0"/>
        <v>526.63916969084505</v>
      </c>
      <c r="L13" s="33">
        <f t="shared" si="0"/>
        <v>542.43834478157044</v>
      </c>
      <c r="M13" s="60">
        <f>M11+M12</f>
        <v>8194.4352618335888</v>
      </c>
    </row>
    <row r="14" spans="1:13" ht="15" thickBot="1">
      <c r="A14" s="2"/>
      <c r="B14" s="431" t="s">
        <v>35</v>
      </c>
      <c r="C14" s="37">
        <f>C11/F7</f>
        <v>0.15257373737373739</v>
      </c>
      <c r="D14" s="37">
        <f>C14*(1+$F$3)/(1+$F$4)</f>
        <v>0.15113436249285306</v>
      </c>
      <c r="E14" s="37">
        <f>D14*(1+$G$3)/(1+$G$4)</f>
        <v>0.15113436249285306</v>
      </c>
      <c r="F14" s="37">
        <f>E14*(1+$H$3)/(1+$H$4)</f>
        <v>0.15113436249285306</v>
      </c>
      <c r="G14" s="37">
        <f>F14*(1+$I$3)/(1+$I$4)</f>
        <v>0.15113436249285306</v>
      </c>
      <c r="H14" s="37">
        <f>G14*(1+$J$3)/(1+$J$4)</f>
        <v>0.15113436249285306</v>
      </c>
      <c r="I14" s="61">
        <f>H14*(1+$C$8)/(1+$F$8)</f>
        <v>0.14825561273108442</v>
      </c>
      <c r="J14" s="61">
        <f>I14*(1+$C$8)/(1+$F$8)</f>
        <v>0.14543169629811137</v>
      </c>
      <c r="K14" s="61">
        <f>J14*(1+$C$8)/(1+$F$8)</f>
        <v>0.14266156874957592</v>
      </c>
      <c r="L14" s="61">
        <f>K14*(1+$C$8)/(1+$F$8)</f>
        <v>0.13994420553529827</v>
      </c>
      <c r="M14" s="61">
        <f>L14*(1+$C$8)/(1+$F$8)</f>
        <v>0.1372786016203402</v>
      </c>
    </row>
    <row r="15" spans="1:13" ht="15" thickBot="1">
      <c r="A15" s="6"/>
      <c r="B15" s="514" t="s">
        <v>252</v>
      </c>
      <c r="C15" s="438">
        <f>C11/C14</f>
        <v>2475</v>
      </c>
      <c r="D15" s="438">
        <f t="shared" ref="D15:M15" si="1">D11/D14</f>
        <v>2623.5000000000005</v>
      </c>
      <c r="E15" s="438">
        <f t="shared" si="1"/>
        <v>2754.6750000000006</v>
      </c>
      <c r="F15" s="438">
        <f t="shared" si="1"/>
        <v>2892.4087500000005</v>
      </c>
      <c r="G15" s="438">
        <f>G11/G14</f>
        <v>3037.0291875000007</v>
      </c>
      <c r="H15" s="438">
        <f t="shared" si="1"/>
        <v>3188.8806468750008</v>
      </c>
      <c r="I15" s="438">
        <f t="shared" si="1"/>
        <v>3348.324679218751</v>
      </c>
      <c r="J15" s="438">
        <f t="shared" si="1"/>
        <v>3515.7409131796894</v>
      </c>
      <c r="K15" s="438">
        <f t="shared" si="1"/>
        <v>3691.5279588386734</v>
      </c>
      <c r="L15" s="438">
        <f t="shared" si="1"/>
        <v>3876.1043567806078</v>
      </c>
      <c r="M15" s="438">
        <f t="shared" si="1"/>
        <v>4069.9095746196385</v>
      </c>
    </row>
    <row r="16" spans="1:13" ht="15" customHeight="1" thickBot="1">
      <c r="A16" s="2"/>
      <c r="H16" s="6"/>
      <c r="I16" s="6"/>
      <c r="J16" s="6"/>
      <c r="K16" s="6"/>
      <c r="L16" s="6"/>
      <c r="M16" s="6"/>
    </row>
    <row r="17" spans="1:13" ht="18" customHeight="1" thickBot="1">
      <c r="A17" s="2"/>
      <c r="B17" s="449" t="s">
        <v>16</v>
      </c>
      <c r="C17" s="450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thickBot="1">
      <c r="A18" s="2"/>
      <c r="B18" s="41" t="s">
        <v>218</v>
      </c>
      <c r="C18" s="42">
        <f>NPV(C6,D13:M13)</f>
        <v>5823.3381492619292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219</v>
      </c>
      <c r="C19" s="32">
        <v>715.1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8" customHeight="1" thickBot="1">
      <c r="A20" s="2"/>
      <c r="B20" s="43" t="s">
        <v>220</v>
      </c>
      <c r="C20" s="32">
        <v>588</v>
      </c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" customHeight="1" thickBot="1">
      <c r="A21" s="2"/>
      <c r="B21" s="46" t="s">
        <v>221</v>
      </c>
      <c r="C21" s="450">
        <f>C18+C19-C20</f>
        <v>5950.4381492619295</v>
      </c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" thickBot="1">
      <c r="A22" s="50"/>
      <c r="B22" s="48" t="s">
        <v>222</v>
      </c>
      <c r="C22" s="49">
        <v>49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51" t="s">
        <v>224</v>
      </c>
      <c r="C23" s="52">
        <f>C21/C22</f>
        <v>121.43751325024346</v>
      </c>
      <c r="D23" s="6"/>
      <c r="E23" s="510" t="s">
        <v>225</v>
      </c>
      <c r="F23" s="511">
        <f>C24</f>
        <v>95</v>
      </c>
      <c r="G23" s="6"/>
      <c r="H23" s="6"/>
      <c r="I23" s="6"/>
      <c r="J23" s="6"/>
      <c r="K23" s="6"/>
      <c r="L23" s="6"/>
      <c r="M23" s="6"/>
    </row>
    <row r="24" spans="1:13" ht="18" thickBot="1">
      <c r="A24" s="2"/>
      <c r="B24" s="43" t="s">
        <v>225</v>
      </c>
      <c r="C24" s="53">
        <v>95</v>
      </c>
      <c r="D24" s="6"/>
      <c r="E24" s="512" t="s">
        <v>228</v>
      </c>
      <c r="F24" s="450">
        <f>C23</f>
        <v>121.43751325024346</v>
      </c>
      <c r="H24" s="6"/>
      <c r="I24" s="6"/>
      <c r="J24" s="6"/>
      <c r="K24" s="6"/>
      <c r="L24" s="6"/>
      <c r="M24" s="6"/>
    </row>
    <row r="25" spans="1:13" ht="20" thickBot="1">
      <c r="A25" s="2"/>
      <c r="B25" s="54" t="s">
        <v>226</v>
      </c>
      <c r="C25" s="55">
        <f>(C23-C24)/C24</f>
        <v>0.27828961316045742</v>
      </c>
      <c r="D25" s="6"/>
      <c r="E25" s="6"/>
      <c r="F25" s="424"/>
      <c r="G25" s="6"/>
      <c r="H25" s="6"/>
      <c r="I25" s="6"/>
      <c r="J25" s="6"/>
      <c r="K25" s="6"/>
      <c r="L25" s="6"/>
      <c r="M25" s="6"/>
    </row>
    <row r="26" spans="1:13" ht="18" thickBot="1">
      <c r="A26" s="2"/>
      <c r="B26" s="56" t="s">
        <v>227</v>
      </c>
      <c r="C26" s="52" t="str">
        <f>IF(C25&gt;0,"BUY","SELL")</f>
        <v>BUY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13" customHeight="1">
      <c r="B29" s="451" t="s">
        <v>229</v>
      </c>
    </row>
    <row r="30" spans="1:13">
      <c r="B30" s="448"/>
    </row>
    <row r="31" spans="1:13">
      <c r="B31" s="448"/>
    </row>
    <row r="32" spans="1:13">
      <c r="B32" s="448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4DEE6-EBE8-D64C-B215-2921C7D79615}">
  <dimension ref="A1:M32"/>
  <sheetViews>
    <sheetView zoomScale="113" workbookViewId="0">
      <selection activeCell="K23" sqref="K23"/>
    </sheetView>
  </sheetViews>
  <sheetFormatPr baseColWidth="10" defaultColWidth="9" defaultRowHeight="14"/>
  <cols>
    <col min="2" max="2" width="20.1640625" customWidth="1"/>
    <col min="3" max="3" width="16.33203125" style="115" customWidth="1"/>
    <col min="4" max="4" width="12.5" style="115" customWidth="1"/>
    <col min="5" max="6" width="9.1640625" style="115" bestFit="1" customWidth="1"/>
    <col min="7" max="7" width="21.83203125" style="115" customWidth="1"/>
    <col min="8" max="8" width="9.1640625" style="115" bestFit="1" customWidth="1"/>
    <col min="9" max="9" width="15.6640625" style="115" customWidth="1"/>
    <col min="10" max="12" width="9.1640625" style="115" bestFit="1" customWidth="1"/>
    <col min="13" max="13" width="13.1640625" style="115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85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0.3</v>
      </c>
      <c r="I3" s="12">
        <v>0.3</v>
      </c>
      <c r="J3" s="12">
        <v>0.2</v>
      </c>
      <c r="K3" s="12">
        <v>0.2</v>
      </c>
      <c r="L3" s="12">
        <v>0.12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1828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14" t="s">
        <v>12</v>
      </c>
      <c r="C10" s="30">
        <v>2022</v>
      </c>
      <c r="D10" s="116">
        <v>2023</v>
      </c>
      <c r="E10" s="116">
        <v>2024</v>
      </c>
      <c r="F10" s="116">
        <v>2025</v>
      </c>
      <c r="G10" s="116">
        <v>2026</v>
      </c>
      <c r="H10" s="116">
        <v>2027</v>
      </c>
      <c r="I10" s="116">
        <v>2028</v>
      </c>
      <c r="J10" s="116">
        <v>2029</v>
      </c>
      <c r="K10" s="116">
        <v>2030</v>
      </c>
      <c r="L10" s="116">
        <v>2031</v>
      </c>
      <c r="M10" s="116">
        <v>2032</v>
      </c>
    </row>
    <row r="11" spans="1:13" ht="18" thickBot="1">
      <c r="A11" s="2"/>
      <c r="B11" s="7" t="s">
        <v>13</v>
      </c>
      <c r="C11" s="32">
        <v>404.45</v>
      </c>
      <c r="D11" s="33">
        <f>C11*(1+H3)</f>
        <v>525.78499999999997</v>
      </c>
      <c r="E11" s="33">
        <f>D11*(1+$I$3)</f>
        <v>683.52049999999997</v>
      </c>
      <c r="F11" s="33">
        <f>E11*(1+$J$3)</f>
        <v>820.2245999999999</v>
      </c>
      <c r="G11" s="33">
        <f>F11*(1+$K$3)</f>
        <v>984.26951999999983</v>
      </c>
      <c r="H11" s="33">
        <f>G11*(1+$L$3)</f>
        <v>1102.3818623999998</v>
      </c>
      <c r="I11" s="33">
        <f>H11*(1+$C$8)</f>
        <v>1190.5724113919998</v>
      </c>
      <c r="J11" s="33">
        <f>I11*(1+$C$8)</f>
        <v>1285.8182043033598</v>
      </c>
      <c r="K11" s="33">
        <f>J11*(1+$C$8)</f>
        <v>1388.6836606476288</v>
      </c>
      <c r="L11" s="33">
        <f>K11*(1+$C$8)</f>
        <v>1499.7783534994392</v>
      </c>
      <c r="M11" s="33">
        <f>L11*(1+$C$8)</f>
        <v>1619.7606217793943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22136.728497651718</v>
      </c>
    </row>
    <row r="13" spans="1:13" ht="20" thickBot="1">
      <c r="A13" s="2"/>
      <c r="B13" s="35" t="s">
        <v>15</v>
      </c>
      <c r="C13" s="34"/>
      <c r="D13" s="33">
        <f t="shared" ref="D13:L13" si="0">D11</f>
        <v>525.78499999999997</v>
      </c>
      <c r="E13" s="33">
        <f t="shared" si="0"/>
        <v>683.52049999999997</v>
      </c>
      <c r="F13" s="33">
        <f t="shared" si="0"/>
        <v>820.2245999999999</v>
      </c>
      <c r="G13" s="33">
        <f t="shared" si="0"/>
        <v>984.26951999999983</v>
      </c>
      <c r="H13" s="33">
        <f t="shared" si="0"/>
        <v>1102.3818623999998</v>
      </c>
      <c r="I13" s="33">
        <f t="shared" si="0"/>
        <v>1190.5724113919998</v>
      </c>
      <c r="J13" s="33">
        <f t="shared" si="0"/>
        <v>1285.8182043033598</v>
      </c>
      <c r="K13" s="33">
        <f t="shared" si="0"/>
        <v>1388.6836606476288</v>
      </c>
      <c r="L13" s="33">
        <f t="shared" si="0"/>
        <v>1499.7783534994392</v>
      </c>
      <c r="M13" s="60">
        <f>M11+M12</f>
        <v>23756.489119431113</v>
      </c>
    </row>
    <row r="14" spans="1:13" ht="15" thickBot="1">
      <c r="A14" s="2"/>
      <c r="B14" s="36" t="s">
        <v>35</v>
      </c>
      <c r="C14" s="37">
        <f>C11/J5</f>
        <v>0.2212527352297593</v>
      </c>
      <c r="D14" s="37">
        <f>C14*(1+$H$3)/(1+$H$4)</f>
        <v>0.22125273522975933</v>
      </c>
      <c r="E14" s="37">
        <f>D14*(1+$I$3)/(1+$I$4)</f>
        <v>0.22125273522975933</v>
      </c>
      <c r="F14" s="37">
        <f>E14*(1+$J$3)/(1+$J$4)</f>
        <v>0.22125273522975933</v>
      </c>
      <c r="G14" s="37">
        <f>F14*(1+$K$3)/(1+$K$4)</f>
        <v>0.22125273522975933</v>
      </c>
      <c r="H14" s="37">
        <f>G14*(1+$L$3)/(1+$L$4)</f>
        <v>0.20650255288110872</v>
      </c>
      <c r="I14" s="61">
        <f>H14*(1+$C$8)/(1+$J$8)</f>
        <v>0.20274796101054313</v>
      </c>
      <c r="J14" s="61">
        <f>I14*(1+$C$8)/(1+$J$8)</f>
        <v>0.19906163444671507</v>
      </c>
      <c r="K14" s="61">
        <f>J14*(1+$C$8)/(1+$J$8)</f>
        <v>0.19544233200222935</v>
      </c>
      <c r="L14" s="61">
        <f>K14*(1+$C$8)/(1+$J$8)</f>
        <v>0.19188883505673426</v>
      </c>
      <c r="M14" s="61">
        <f>L14*(1+$C$8)/(1+$J$8)</f>
        <v>0.18839994714661182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111.21177686857415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14790.801654126084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1630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1296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6">
        <f>C17+C18-C19</f>
        <v>15124.801654126084</v>
      </c>
      <c r="D20" s="47"/>
      <c r="E20" s="460" t="s">
        <v>22</v>
      </c>
      <c r="F20" s="461">
        <f>C23</f>
        <v>119.34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136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111.21177686857415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119.34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-6.8109796643420942E-2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54EDC-FF3B-0347-B4A7-CCD351A6B660}">
  <dimension ref="A1:M32"/>
  <sheetViews>
    <sheetView zoomScale="125" workbookViewId="0">
      <selection activeCell="G27" sqref="G27"/>
    </sheetView>
  </sheetViews>
  <sheetFormatPr baseColWidth="10" defaultColWidth="9" defaultRowHeight="14"/>
  <cols>
    <col min="2" max="2" width="20.1640625" customWidth="1"/>
    <col min="3" max="3" width="16.33203125" style="115" customWidth="1"/>
    <col min="4" max="4" width="12.5" style="115" customWidth="1"/>
    <col min="5" max="6" width="9.1640625" style="115" bestFit="1" customWidth="1"/>
    <col min="7" max="7" width="21.83203125" style="115" customWidth="1"/>
    <col min="8" max="8" width="9.1640625" style="115" bestFit="1" customWidth="1"/>
    <col min="9" max="9" width="15.6640625" style="115" customWidth="1"/>
    <col min="10" max="12" width="9.1640625" style="115" bestFit="1" customWidth="1"/>
    <col min="13" max="13" width="13.1640625" style="115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86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1</v>
      </c>
      <c r="I3" s="12">
        <v>0.4</v>
      </c>
      <c r="J3" s="12">
        <v>0.3</v>
      </c>
      <c r="K3" s="12">
        <v>0.3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4709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0.14000000000000001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14" t="s">
        <v>12</v>
      </c>
      <c r="C10" s="30">
        <v>2022</v>
      </c>
      <c r="D10" s="116">
        <v>2023</v>
      </c>
      <c r="E10" s="116">
        <v>2024</v>
      </c>
      <c r="F10" s="116">
        <v>2025</v>
      </c>
      <c r="G10" s="116">
        <v>2026</v>
      </c>
      <c r="H10" s="116">
        <v>2027</v>
      </c>
      <c r="I10" s="116">
        <v>2028</v>
      </c>
      <c r="J10" s="116">
        <v>2029</v>
      </c>
      <c r="K10" s="116">
        <v>2030</v>
      </c>
      <c r="L10" s="116">
        <v>2031</v>
      </c>
      <c r="M10" s="116">
        <v>2032</v>
      </c>
    </row>
    <row r="11" spans="1:13" ht="18" thickBot="1">
      <c r="A11" s="2"/>
      <c r="B11" s="7" t="s">
        <v>13</v>
      </c>
      <c r="C11" s="32">
        <v>2094</v>
      </c>
      <c r="D11" s="33">
        <f>C11*(1+H3)</f>
        <v>4188</v>
      </c>
      <c r="E11" s="33">
        <f>D11*(1+$I$3)</f>
        <v>5863.2</v>
      </c>
      <c r="F11" s="33">
        <f>E11*(1+$J$3)</f>
        <v>7622.16</v>
      </c>
      <c r="G11" s="33">
        <f>F11*(1+$K$3)</f>
        <v>9908.8080000000009</v>
      </c>
      <c r="H11" s="33">
        <f>G11*(1+$L$3)</f>
        <v>11890.569600000001</v>
      </c>
      <c r="I11" s="33">
        <f>H11*(1+$C$8)</f>
        <v>13555.249344000002</v>
      </c>
      <c r="J11" s="33">
        <f>I11*(1+$C$8)</f>
        <v>15452.984252160004</v>
      </c>
      <c r="K11" s="33">
        <f>J11*(1+$C$8)</f>
        <v>17616.402047462405</v>
      </c>
      <c r="L11" s="33">
        <f>K11*(1+$C$8)</f>
        <v>20082.698334107143</v>
      </c>
      <c r="M11" s="33">
        <f>L11*(1+$C$8)</f>
        <v>22894.276100882144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312888.44004538923</v>
      </c>
    </row>
    <row r="13" spans="1:13" ht="20" thickBot="1">
      <c r="A13" s="2"/>
      <c r="B13" s="35" t="s">
        <v>15</v>
      </c>
      <c r="C13" s="34"/>
      <c r="D13" s="33">
        <f t="shared" ref="D13:L13" si="0">D11</f>
        <v>4188</v>
      </c>
      <c r="E13" s="33">
        <f t="shared" si="0"/>
        <v>5863.2</v>
      </c>
      <c r="F13" s="33">
        <f t="shared" si="0"/>
        <v>7622.16</v>
      </c>
      <c r="G13" s="33">
        <f t="shared" si="0"/>
        <v>9908.8080000000009</v>
      </c>
      <c r="H13" s="33">
        <f t="shared" si="0"/>
        <v>11890.569600000001</v>
      </c>
      <c r="I13" s="33">
        <f t="shared" si="0"/>
        <v>13555.249344000002</v>
      </c>
      <c r="J13" s="33">
        <f t="shared" si="0"/>
        <v>15452.984252160004</v>
      </c>
      <c r="K13" s="33">
        <f t="shared" si="0"/>
        <v>17616.402047462405</v>
      </c>
      <c r="L13" s="33">
        <f t="shared" si="0"/>
        <v>20082.698334107143</v>
      </c>
      <c r="M13" s="60">
        <f>M11+M12</f>
        <v>335782.71614627138</v>
      </c>
    </row>
    <row r="14" spans="1:13" ht="15" thickBot="1">
      <c r="A14" s="2"/>
      <c r="B14" s="36" t="s">
        <v>35</v>
      </c>
      <c r="C14" s="37">
        <f>C11/J5</f>
        <v>0.44468039923550645</v>
      </c>
      <c r="D14" s="37">
        <f>C14*(1+$H$3)/(1+$H$4)</f>
        <v>0.68412369113154836</v>
      </c>
      <c r="E14" s="37">
        <f>D14*(1+$I$3)/(1+$I$4)</f>
        <v>0.7367485904493597</v>
      </c>
      <c r="F14" s="37">
        <f>E14*(1+$J$3)/(1+$J$4)</f>
        <v>0.79814430632013977</v>
      </c>
      <c r="G14" s="37">
        <f>F14*(1+$K$3)/(1+$K$4)</f>
        <v>0.86465633184681812</v>
      </c>
      <c r="H14" s="37">
        <f>G14*(1+$L$3)/(1+$L$4)</f>
        <v>0.86465633184681812</v>
      </c>
      <c r="I14" s="61">
        <f>H14*(1+$C$8)/(1+$J$8)</f>
        <v>0.89609838027761157</v>
      </c>
      <c r="J14" s="61">
        <f>I14*(1+$C$8)/(1+$J$8)</f>
        <v>0.92868377592407025</v>
      </c>
      <c r="K14" s="61">
        <f>J14*(1+$C$8)/(1+$J$8)</f>
        <v>0.96245409504858193</v>
      </c>
      <c r="L14" s="61">
        <f>K14*(1+$C$8)/(1+$J$8)</f>
        <v>0.99745242577762128</v>
      </c>
      <c r="M14" s="61">
        <f>L14*(1+$C$8)/(1+$J$8)</f>
        <v>1.0337234230786256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538.76807411451796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190305.87979185223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741.41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3556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6">
        <f>C17+C18-C19</f>
        <v>187491.28979185224</v>
      </c>
      <c r="D20" s="47"/>
      <c r="E20" s="460" t="s">
        <v>22</v>
      </c>
      <c r="F20" s="461">
        <f>C23</f>
        <v>490.75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348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538.76807411451796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490.75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9.7846304869114539E-2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26A06-082E-AA4C-8897-7D03B630BEF8}">
  <dimension ref="A1:M32"/>
  <sheetViews>
    <sheetView zoomScale="175" workbookViewId="0">
      <selection activeCell="I3" sqref="I3"/>
    </sheetView>
  </sheetViews>
  <sheetFormatPr baseColWidth="10" defaultColWidth="9" defaultRowHeight="14"/>
  <cols>
    <col min="2" max="2" width="20.1640625" customWidth="1"/>
    <col min="3" max="3" width="16.33203125" style="118" customWidth="1"/>
    <col min="4" max="4" width="12.5" style="118" customWidth="1"/>
    <col min="5" max="6" width="9.1640625" style="118" bestFit="1" customWidth="1"/>
    <col min="7" max="7" width="21.83203125" style="118" customWidth="1"/>
    <col min="8" max="8" width="9.1640625" style="118" bestFit="1" customWidth="1"/>
    <col min="9" max="9" width="15.6640625" style="118" customWidth="1"/>
    <col min="10" max="12" width="9.1640625" style="118" bestFit="1" customWidth="1"/>
    <col min="13" max="13" width="13.1640625" style="118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87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0.45</v>
      </c>
      <c r="I3" s="12">
        <v>0.3</v>
      </c>
      <c r="J3" s="12">
        <v>0.25</v>
      </c>
      <c r="K3" s="12">
        <v>0.2</v>
      </c>
      <c r="L3" s="12">
        <v>0.12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7951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0.06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17" t="s">
        <v>12</v>
      </c>
      <c r="C10" s="30">
        <v>2022</v>
      </c>
      <c r="D10" s="119">
        <v>2023</v>
      </c>
      <c r="E10" s="119">
        <v>2024</v>
      </c>
      <c r="F10" s="119">
        <v>2025</v>
      </c>
      <c r="G10" s="119">
        <v>2026</v>
      </c>
      <c r="H10" s="119">
        <v>2027</v>
      </c>
      <c r="I10" s="119">
        <v>2028</v>
      </c>
      <c r="J10" s="119">
        <v>2029</v>
      </c>
      <c r="K10" s="119">
        <v>2030</v>
      </c>
      <c r="L10" s="119">
        <v>2031</v>
      </c>
      <c r="M10" s="119">
        <v>2032</v>
      </c>
    </row>
    <row r="11" spans="1:13" ht="18" thickBot="1">
      <c r="A11" s="2"/>
      <c r="B11" s="7" t="s">
        <v>13</v>
      </c>
      <c r="C11" s="32">
        <v>3975</v>
      </c>
      <c r="D11" s="33">
        <f>C11*(1+H3)</f>
        <v>5763.75</v>
      </c>
      <c r="E11" s="33">
        <f>D11*(1+$I$3)</f>
        <v>7492.875</v>
      </c>
      <c r="F11" s="33">
        <f>E11*(1+$J$3)</f>
        <v>9366.09375</v>
      </c>
      <c r="G11" s="33">
        <f>F11*(1+$K$3)</f>
        <v>11239.3125</v>
      </c>
      <c r="H11" s="33">
        <f>G11*(1+$L$3)</f>
        <v>12588.03</v>
      </c>
      <c r="I11" s="33">
        <f>H11*(1+$C$8)</f>
        <v>13343.311800000001</v>
      </c>
      <c r="J11" s="33">
        <f>I11*(1+$C$8)</f>
        <v>14143.910508000003</v>
      </c>
      <c r="K11" s="33">
        <f>J11*(1+$C$8)</f>
        <v>14992.545138480004</v>
      </c>
      <c r="L11" s="33">
        <f>K11*(1+$C$8)</f>
        <v>15892.097846788805</v>
      </c>
      <c r="M11" s="33">
        <f>L11*(1+$C$8)</f>
        <v>16845.623717596136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230223.52414048044</v>
      </c>
    </row>
    <row r="13" spans="1:13" ht="20" thickBot="1">
      <c r="A13" s="2"/>
      <c r="B13" s="35" t="s">
        <v>15</v>
      </c>
      <c r="C13" s="34"/>
      <c r="D13" s="33">
        <f t="shared" ref="D13:L13" si="0">D11</f>
        <v>5763.75</v>
      </c>
      <c r="E13" s="33">
        <f t="shared" si="0"/>
        <v>7492.875</v>
      </c>
      <c r="F13" s="33">
        <f t="shared" si="0"/>
        <v>9366.09375</v>
      </c>
      <c r="G13" s="33">
        <f t="shared" si="0"/>
        <v>11239.3125</v>
      </c>
      <c r="H13" s="33">
        <f t="shared" si="0"/>
        <v>12588.03</v>
      </c>
      <c r="I13" s="33">
        <f t="shared" si="0"/>
        <v>13343.311800000001</v>
      </c>
      <c r="J13" s="33">
        <f t="shared" si="0"/>
        <v>14143.910508000003</v>
      </c>
      <c r="K13" s="33">
        <f t="shared" si="0"/>
        <v>14992.545138480004</v>
      </c>
      <c r="L13" s="33">
        <f t="shared" si="0"/>
        <v>15892.097846788805</v>
      </c>
      <c r="M13" s="60">
        <f>M11+M12</f>
        <v>247069.14785807658</v>
      </c>
    </row>
    <row r="14" spans="1:13" ht="15" thickBot="1">
      <c r="A14" s="2"/>
      <c r="B14" s="36" t="s">
        <v>35</v>
      </c>
      <c r="C14" s="37">
        <f>C11/J5</f>
        <v>0.49993711482832348</v>
      </c>
      <c r="D14" s="37">
        <f>C14*(1+$H$3)/(1+$H$4)</f>
        <v>0.55762216653928376</v>
      </c>
      <c r="E14" s="37">
        <f>D14*(1+$I$3)/(1+$I$4)</f>
        <v>0.55762216653928376</v>
      </c>
      <c r="F14" s="37">
        <f>E14*(1+$J$3)/(1+$J$4)</f>
        <v>0.5808564234784207</v>
      </c>
      <c r="G14" s="37">
        <f>F14*(1+$K$3)/(1+$K$4)</f>
        <v>0.5808564234784207</v>
      </c>
      <c r="H14" s="37">
        <f>G14*(1+$L$3)/(1+$L$4)</f>
        <v>0.54213266191319265</v>
      </c>
      <c r="I14" s="61">
        <f>H14*(1+$C$8)/(1+$J$8)</f>
        <v>0.52241874693453105</v>
      </c>
      <c r="J14" s="61">
        <f>I14*(1+$C$8)/(1+$J$8)</f>
        <v>0.50342170159145716</v>
      </c>
      <c r="K14" s="61">
        <f>J14*(1+$C$8)/(1+$J$8)</f>
        <v>0.48511545789722232</v>
      </c>
      <c r="L14" s="61">
        <f>K14*(1+$C$8)/(1+$J$8)</f>
        <v>0.46747489579186879</v>
      </c>
      <c r="M14" s="61">
        <f>L14*(1+$C$8)/(1+$J$8)</f>
        <v>0.45047580867216447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130.24682886001764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157741.69411196257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8844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0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19">
        <f>C17+C18-C19</f>
        <v>166585.69411196257</v>
      </c>
      <c r="D20" s="47"/>
      <c r="E20" s="460" t="s">
        <v>22</v>
      </c>
      <c r="F20" s="461">
        <f>C23</f>
        <v>142.84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1279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130.24682886001764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142.84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-8.8162777513178095E-2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A5E15-C72C-CC45-A7B0-1BB20C3E714E}">
  <dimension ref="A1:M32"/>
  <sheetViews>
    <sheetView topLeftCell="A3" zoomScale="188" workbookViewId="0">
      <selection activeCell="I25" sqref="A1:XFD1048576"/>
    </sheetView>
  </sheetViews>
  <sheetFormatPr baseColWidth="10" defaultColWidth="9" defaultRowHeight="14"/>
  <cols>
    <col min="2" max="2" width="20.1640625" customWidth="1"/>
    <col min="3" max="3" width="16.33203125" style="121" customWidth="1"/>
    <col min="4" max="4" width="12.5" style="121" customWidth="1"/>
    <col min="5" max="6" width="9.1640625" style="121" bestFit="1" customWidth="1"/>
    <col min="7" max="7" width="21.83203125" style="121" customWidth="1"/>
    <col min="8" max="8" width="9.1640625" style="121" bestFit="1" customWidth="1"/>
    <col min="9" max="9" width="15.6640625" style="121" customWidth="1"/>
    <col min="10" max="12" width="9.1640625" style="121" bestFit="1" customWidth="1"/>
    <col min="13" max="13" width="13.1640625" style="12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0.3</v>
      </c>
      <c r="I3" s="12">
        <v>0.2</v>
      </c>
      <c r="J3" s="12">
        <v>0.1</v>
      </c>
      <c r="K3" s="12">
        <v>0.08</v>
      </c>
      <c r="L3" s="12">
        <v>0.08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36406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20" t="s">
        <v>12</v>
      </c>
      <c r="C10" s="30">
        <v>2022</v>
      </c>
      <c r="D10" s="122">
        <v>2023</v>
      </c>
      <c r="E10" s="122">
        <v>2024</v>
      </c>
      <c r="F10" s="122">
        <v>2025</v>
      </c>
      <c r="G10" s="122">
        <v>2026</v>
      </c>
      <c r="H10" s="122">
        <v>2027</v>
      </c>
      <c r="I10" s="122">
        <v>2028</v>
      </c>
      <c r="J10" s="122">
        <v>2029</v>
      </c>
      <c r="K10" s="122">
        <v>2030</v>
      </c>
      <c r="L10" s="122">
        <v>2031</v>
      </c>
      <c r="M10" s="122">
        <v>2032</v>
      </c>
    </row>
    <row r="11" spans="1:13" ht="18" thickBot="1">
      <c r="A11" s="2"/>
      <c r="B11" s="7" t="s">
        <v>13</v>
      </c>
      <c r="C11" s="32">
        <v>12267</v>
      </c>
      <c r="D11" s="33">
        <f>C11*(1+H3)</f>
        <v>15947.1</v>
      </c>
      <c r="E11" s="33">
        <f>D11*(1+$I$3)</f>
        <v>19136.52</v>
      </c>
      <c r="F11" s="33">
        <f>E11*(1+$J$3)</f>
        <v>21050.172000000002</v>
      </c>
      <c r="G11" s="33">
        <f>F11*(1+$K$3)</f>
        <v>22734.185760000004</v>
      </c>
      <c r="H11" s="33">
        <f>G11*(1+$L$3)</f>
        <v>24552.920620800007</v>
      </c>
      <c r="I11" s="33">
        <f>H11*(1+$C$8)</f>
        <v>25780.566651840007</v>
      </c>
      <c r="J11" s="33">
        <f>I11*(1+$C$8)</f>
        <v>27069.594984432009</v>
      </c>
      <c r="K11" s="33">
        <f>J11*(1+$C$8)</f>
        <v>28423.074733653611</v>
      </c>
      <c r="L11" s="33">
        <f>K11*(1+$C$8)</f>
        <v>29844.228470336293</v>
      </c>
      <c r="M11" s="33">
        <f>L11*(1+$C$8)</f>
        <v>31336.439893853109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428264.67854932568</v>
      </c>
    </row>
    <row r="13" spans="1:13" ht="20" thickBot="1">
      <c r="A13" s="2"/>
      <c r="B13" s="35" t="s">
        <v>15</v>
      </c>
      <c r="C13" s="34"/>
      <c r="D13" s="33">
        <f t="shared" ref="D13:L13" si="0">D11</f>
        <v>15947.1</v>
      </c>
      <c r="E13" s="33">
        <f t="shared" si="0"/>
        <v>19136.52</v>
      </c>
      <c r="F13" s="33">
        <f t="shared" si="0"/>
        <v>21050.172000000002</v>
      </c>
      <c r="G13" s="33">
        <f t="shared" si="0"/>
        <v>22734.185760000004</v>
      </c>
      <c r="H13" s="33">
        <f t="shared" si="0"/>
        <v>24552.920620800007</v>
      </c>
      <c r="I13" s="33">
        <f t="shared" si="0"/>
        <v>25780.566651840007</v>
      </c>
      <c r="J13" s="33">
        <f t="shared" si="0"/>
        <v>27069.594984432009</v>
      </c>
      <c r="K13" s="33">
        <f t="shared" si="0"/>
        <v>28423.074733653611</v>
      </c>
      <c r="L13" s="33">
        <f t="shared" si="0"/>
        <v>29844.228470336293</v>
      </c>
      <c r="M13" s="60">
        <f>M11+M12</f>
        <v>459601.11844317877</v>
      </c>
    </row>
    <row r="14" spans="1:13" ht="15" thickBot="1">
      <c r="A14" s="2"/>
      <c r="B14" s="36" t="s">
        <v>35</v>
      </c>
      <c r="C14" s="37">
        <f>C11/J5</f>
        <v>0.33694995330440036</v>
      </c>
      <c r="D14" s="37">
        <f>C14*(1+$H$3)/(1+$H$4)</f>
        <v>0.33694995330440036</v>
      </c>
      <c r="E14" s="37">
        <f>D14*(1+$I$3)/(1+$I$4)</f>
        <v>0.31103072612713878</v>
      </c>
      <c r="F14" s="37">
        <f>E14*(1+$J$3)/(1+$J$4)</f>
        <v>0.28511149894987725</v>
      </c>
      <c r="G14" s="37">
        <f>F14*(1+$K$3)/(1+$K$4)</f>
        <v>0.25660034905488954</v>
      </c>
      <c r="H14" s="37">
        <f>G14*(1+$L$3)/(1+$L$4)</f>
        <v>0.23094031414940061</v>
      </c>
      <c r="I14" s="61">
        <f>H14*(1+$C$8)/(1+$J$8)</f>
        <v>0.22044302714260966</v>
      </c>
      <c r="J14" s="61">
        <f>I14*(1+$C$8)/(1+$J$8)</f>
        <v>0.21042288954521832</v>
      </c>
      <c r="K14" s="61">
        <f>J14*(1+$C$8)/(1+$J$8)</f>
        <v>0.2008582127477084</v>
      </c>
      <c r="L14" s="61">
        <f>K14*(1+$C$8)/(1+$J$8)</f>
        <v>0.19172829398644894</v>
      </c>
      <c r="M14" s="61">
        <f>L14*(1+$C$8)/(1+$J$8)</f>
        <v>0.18301337153251943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271.54970753341684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308457.169512761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13851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15457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22">
        <f>C17+C18-C19</f>
        <v>306851.169512761</v>
      </c>
      <c r="D20" s="47"/>
      <c r="E20" s="460" t="s">
        <v>22</v>
      </c>
      <c r="F20" s="461">
        <f>C23</f>
        <v>191.46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1130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271.54970753341684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191.46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0.41831039137896597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5BF-511C-5040-9343-F915791820DA}">
  <dimension ref="A1:M32"/>
  <sheetViews>
    <sheetView zoomScale="125" workbookViewId="0">
      <selection activeCell="AD60" sqref="AD60"/>
    </sheetView>
  </sheetViews>
  <sheetFormatPr baseColWidth="10" defaultColWidth="9" defaultRowHeight="14"/>
  <cols>
    <col min="2" max="2" width="20.1640625" customWidth="1"/>
    <col min="3" max="3" width="16.33203125" style="124" customWidth="1"/>
    <col min="4" max="4" width="12.5" style="124" customWidth="1"/>
    <col min="5" max="6" width="9.1640625" style="124" bestFit="1" customWidth="1"/>
    <col min="7" max="7" width="21.83203125" style="124" customWidth="1"/>
    <col min="8" max="8" width="9.1640625" style="124" bestFit="1" customWidth="1"/>
    <col min="9" max="9" width="15.6640625" style="124" customWidth="1"/>
    <col min="10" max="12" width="9.1640625" style="124" bestFit="1" customWidth="1"/>
    <col min="13" max="13" width="13.1640625" style="124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89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0.2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42619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23" t="s">
        <v>12</v>
      </c>
      <c r="C10" s="30">
        <v>2022</v>
      </c>
      <c r="D10" s="125">
        <v>2023</v>
      </c>
      <c r="E10" s="125">
        <v>2024</v>
      </c>
      <c r="F10" s="125">
        <v>2025</v>
      </c>
      <c r="G10" s="125">
        <v>2026</v>
      </c>
      <c r="H10" s="125">
        <v>2027</v>
      </c>
      <c r="I10" s="125">
        <v>2028</v>
      </c>
      <c r="J10" s="125">
        <v>2029</v>
      </c>
      <c r="K10" s="125">
        <v>2030</v>
      </c>
      <c r="L10" s="125">
        <v>2031</v>
      </c>
      <c r="M10" s="125">
        <v>2032</v>
      </c>
    </row>
    <row r="11" spans="1:13" ht="18" thickBot="1">
      <c r="A11" s="2"/>
      <c r="B11" s="7" t="s">
        <v>13</v>
      </c>
      <c r="C11" s="32">
        <v>18461</v>
      </c>
      <c r="D11" s="33">
        <f>C11*(1+H3)</f>
        <v>27691.5</v>
      </c>
      <c r="E11" s="33">
        <f>D11*(1+$I$3)</f>
        <v>33229.799999999996</v>
      </c>
      <c r="F11" s="33">
        <f>E11*(1+$J$3)</f>
        <v>39875.759999999995</v>
      </c>
      <c r="G11" s="33">
        <f>F11*(1+$K$3)</f>
        <v>47850.911999999989</v>
      </c>
      <c r="H11" s="33">
        <f>G11*(1+$L$3)</f>
        <v>57421.094399999987</v>
      </c>
      <c r="I11" s="33">
        <f>H11*(1+$C$8)</f>
        <v>63163.203839999995</v>
      </c>
      <c r="J11" s="33">
        <f>I11*(1+$C$8)</f>
        <v>69479.524223999993</v>
      </c>
      <c r="K11" s="33">
        <f>J11*(1+$C$8)</f>
        <v>76427.476646399999</v>
      </c>
      <c r="L11" s="33">
        <f>K11*(1+$C$8)</f>
        <v>84070.224311040001</v>
      </c>
      <c r="M11" s="33">
        <f>L11*(1+$C$8)</f>
        <v>92477.246742144009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1263855.7054759678</v>
      </c>
    </row>
    <row r="13" spans="1:13" ht="20" thickBot="1">
      <c r="A13" s="2"/>
      <c r="B13" s="35" t="s">
        <v>15</v>
      </c>
      <c r="C13" s="34"/>
      <c r="D13" s="33">
        <f t="shared" ref="D13:L13" si="0">D11</f>
        <v>27691.5</v>
      </c>
      <c r="E13" s="33">
        <f t="shared" si="0"/>
        <v>33229.799999999996</v>
      </c>
      <c r="F13" s="33">
        <f t="shared" si="0"/>
        <v>39875.759999999995</v>
      </c>
      <c r="G13" s="33">
        <f t="shared" si="0"/>
        <v>47850.911999999989</v>
      </c>
      <c r="H13" s="33">
        <f t="shared" si="0"/>
        <v>57421.094399999987</v>
      </c>
      <c r="I13" s="33">
        <f t="shared" si="0"/>
        <v>63163.203839999995</v>
      </c>
      <c r="J13" s="33">
        <f t="shared" si="0"/>
        <v>69479.524223999993</v>
      </c>
      <c r="K13" s="33">
        <f t="shared" si="0"/>
        <v>76427.476646399999</v>
      </c>
      <c r="L13" s="33">
        <f t="shared" si="0"/>
        <v>84070.224311040001</v>
      </c>
      <c r="M13" s="60">
        <f>M11+M12</f>
        <v>1356332.9522181118</v>
      </c>
    </row>
    <row r="14" spans="1:13" ht="15" thickBot="1">
      <c r="A14" s="2"/>
      <c r="B14" s="36" t="s">
        <v>35</v>
      </c>
      <c r="C14" s="37">
        <f>C11/J5</f>
        <v>0.43316361247331003</v>
      </c>
      <c r="D14" s="37">
        <f>C14*(1+$H$3)/(1+$H$4)</f>
        <v>0.49980416823843465</v>
      </c>
      <c r="E14" s="37">
        <f>D14*(1+$I$3)/(1+$I$4)</f>
        <v>0.46135769375855507</v>
      </c>
      <c r="F14" s="37">
        <f>E14*(1+$J$3)/(1+$J$4)</f>
        <v>0.46135769375855507</v>
      </c>
      <c r="G14" s="37">
        <f>F14*(1+$K$3)/(1+$K$4)</f>
        <v>0.46135769375855507</v>
      </c>
      <c r="H14" s="37">
        <f>G14*(1+$L$3)/(1+$L$4)</f>
        <v>0.46135769375855507</v>
      </c>
      <c r="I14" s="61">
        <f>H14*(1+$C$8)/(1+$J$8)</f>
        <v>0.46135769375855501</v>
      </c>
      <c r="J14" s="61">
        <f>I14*(1+$C$8)/(1+$J$8)</f>
        <v>0.46135769375855501</v>
      </c>
      <c r="K14" s="61">
        <f>J14*(1+$C$8)/(1+$J$8)</f>
        <v>0.46135769375855501</v>
      </c>
      <c r="L14" s="61">
        <f>K14*(1+$C$8)/(1+$J$8)</f>
        <v>0.46135769375855501</v>
      </c>
      <c r="M14" s="61">
        <f>L14*(1+$C$8)/(1+$J$8)</f>
        <v>0.46135769375855501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158.52474551280844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816473.77846148051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18461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74016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25">
        <f>C17+C18-C19</f>
        <v>760918.77846148051</v>
      </c>
      <c r="D20" s="47"/>
      <c r="E20" s="460" t="s">
        <v>22</v>
      </c>
      <c r="F20" s="461">
        <f>C23</f>
        <v>160.52000000000001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4800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158.52474551280844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160.52000000000001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-1.2429943229451615E-2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  <pageSetup paperSize="9" orientation="portrait" horizontalDpi="0" verticalDpi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2B8B6-71CF-5340-919F-66F6651FC5F7}">
  <dimension ref="A1:M32"/>
  <sheetViews>
    <sheetView topLeftCell="A3" zoomScale="134" workbookViewId="0">
      <selection activeCell="W43" sqref="W43"/>
    </sheetView>
  </sheetViews>
  <sheetFormatPr baseColWidth="10" defaultColWidth="9" defaultRowHeight="14"/>
  <cols>
    <col min="2" max="2" width="20.1640625" customWidth="1"/>
    <col min="3" max="3" width="16.33203125" style="133" customWidth="1"/>
    <col min="4" max="4" width="12.5" style="133" customWidth="1"/>
    <col min="5" max="6" width="9.1640625" style="133" bestFit="1" customWidth="1"/>
    <col min="7" max="7" width="21.83203125" style="133" customWidth="1"/>
    <col min="8" max="8" width="9.1640625" style="133" bestFit="1" customWidth="1"/>
    <col min="9" max="9" width="15.6640625" style="133" customWidth="1"/>
    <col min="10" max="12" width="9.1640625" style="133" bestFit="1" customWidth="1"/>
    <col min="13" max="13" width="13.1640625" style="133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127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0.05</v>
      </c>
      <c r="J3" s="12">
        <v>0.05</v>
      </c>
      <c r="K3" s="12">
        <v>0.05</v>
      </c>
      <c r="L3" s="12">
        <v>0.04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5360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0.02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34" t="s">
        <v>12</v>
      </c>
      <c r="C10" s="30">
        <v>2022</v>
      </c>
      <c r="D10" s="135">
        <v>2023</v>
      </c>
      <c r="E10" s="135">
        <v>2024</v>
      </c>
      <c r="F10" s="135">
        <v>2025</v>
      </c>
      <c r="G10" s="135">
        <v>2026</v>
      </c>
      <c r="H10" s="135">
        <v>2027</v>
      </c>
      <c r="I10" s="135">
        <v>2028</v>
      </c>
      <c r="J10" s="135">
        <v>2029</v>
      </c>
      <c r="K10" s="135">
        <v>2030</v>
      </c>
      <c r="L10" s="135">
        <v>2031</v>
      </c>
      <c r="M10" s="135">
        <v>2032</v>
      </c>
    </row>
    <row r="11" spans="1:13" ht="18" thickBot="1">
      <c r="A11" s="2"/>
      <c r="B11" s="7" t="s">
        <v>13</v>
      </c>
      <c r="C11" s="32">
        <v>1734</v>
      </c>
      <c r="D11" s="33">
        <f>C11*(1+H3)</f>
        <v>1907.4</v>
      </c>
      <c r="E11" s="33">
        <f>D11*(1+$I$3)</f>
        <v>2002.7700000000002</v>
      </c>
      <c r="F11" s="33">
        <f>E11*(1+$J$3)</f>
        <v>2102.9085000000005</v>
      </c>
      <c r="G11" s="33">
        <f>F11*(1+$K$3)</f>
        <v>2208.0539250000006</v>
      </c>
      <c r="H11" s="33">
        <f>G11*(1+$L$3)</f>
        <v>2296.3760820000007</v>
      </c>
      <c r="I11" s="33">
        <f>H11*(1+$C$8)</f>
        <v>2342.3036036400008</v>
      </c>
      <c r="J11" s="33">
        <f>I11*(1+$C$8)</f>
        <v>2389.1496757128007</v>
      </c>
      <c r="K11" s="33">
        <f>J11*(1+$C$8)</f>
        <v>2436.9326692270565</v>
      </c>
      <c r="L11" s="33">
        <f>K11*(1+$C$8)</f>
        <v>2485.6713226115976</v>
      </c>
      <c r="M11" s="33">
        <f>L11*(1+$C$8)</f>
        <v>2535.3847490638295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34650.258237205657</v>
      </c>
    </row>
    <row r="13" spans="1:13" ht="20" thickBot="1">
      <c r="A13" s="2"/>
      <c r="B13" s="35" t="s">
        <v>15</v>
      </c>
      <c r="C13" s="34"/>
      <c r="D13" s="33">
        <f t="shared" ref="D13:L13" si="0">D11</f>
        <v>1907.4</v>
      </c>
      <c r="E13" s="33">
        <f t="shared" si="0"/>
        <v>2002.7700000000002</v>
      </c>
      <c r="F13" s="33">
        <f t="shared" si="0"/>
        <v>2102.9085000000005</v>
      </c>
      <c r="G13" s="33">
        <f t="shared" si="0"/>
        <v>2208.0539250000006</v>
      </c>
      <c r="H13" s="33">
        <f t="shared" si="0"/>
        <v>2296.3760820000007</v>
      </c>
      <c r="I13" s="33">
        <f t="shared" si="0"/>
        <v>2342.3036036400008</v>
      </c>
      <c r="J13" s="33">
        <f t="shared" si="0"/>
        <v>2389.1496757128007</v>
      </c>
      <c r="K13" s="33">
        <f t="shared" si="0"/>
        <v>2436.9326692270565</v>
      </c>
      <c r="L13" s="33">
        <f t="shared" si="0"/>
        <v>2485.6713226115976</v>
      </c>
      <c r="M13" s="60">
        <f>M11+M12</f>
        <v>37185.642986269486</v>
      </c>
    </row>
    <row r="14" spans="1:13" ht="15" thickBot="1">
      <c r="A14" s="2"/>
      <c r="B14" s="36" t="s">
        <v>35</v>
      </c>
      <c r="C14" s="37">
        <f>C11/J5</f>
        <v>0.32350746268656716</v>
      </c>
      <c r="D14" s="37">
        <f>C14*(1+$H$3)/(1+$H$4)</f>
        <v>0.27373708381171069</v>
      </c>
      <c r="E14" s="37">
        <f>D14*(1+$I$3)/(1+$I$4)</f>
        <v>0.22109533692484326</v>
      </c>
      <c r="F14" s="37">
        <f>E14*(1+$J$3)/(1+$J$4)</f>
        <v>0.19345841980923786</v>
      </c>
      <c r="G14" s="37">
        <f>F14*(1+$K$3)/(1+$K$4)</f>
        <v>0.16927611733308315</v>
      </c>
      <c r="H14" s="37">
        <f>G14*(1+$L$3)/(1+$L$4)</f>
        <v>0.14670596835533872</v>
      </c>
      <c r="I14" s="61">
        <f>H14*(1+$C$8)/(1+$J$8)</f>
        <v>0.13603644338404136</v>
      </c>
      <c r="J14" s="61">
        <f>I14*(1+$C$8)/(1+$J$8)</f>
        <v>0.12614288386520198</v>
      </c>
      <c r="K14" s="61">
        <f>J14*(1+$C$8)/(1+$J$8)</f>
        <v>0.11696885594773274</v>
      </c>
      <c r="L14" s="61">
        <f>K14*(1+$C$8)/(1+$J$8)</f>
        <v>0.10846203006062489</v>
      </c>
      <c r="M14" s="61">
        <f>L14*(1+$C$8)/(1+$J$8)</f>
        <v>0.10057388241985217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207.2373947281053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26978.997867206635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3760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1933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35">
        <f>C17+C18-C19</f>
        <v>28805.997867206635</v>
      </c>
      <c r="D20" s="47"/>
      <c r="E20" s="460" t="s">
        <v>22</v>
      </c>
      <c r="F20" s="461">
        <f>C23</f>
        <v>119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139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207.2373947281053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119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0.7414907120008849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9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2EAA8-A1DB-EB4C-BCE5-B49753D0293D}">
  <dimension ref="A1:M32"/>
  <sheetViews>
    <sheetView workbookViewId="0">
      <selection activeCell="E23" sqref="E23"/>
    </sheetView>
  </sheetViews>
  <sheetFormatPr baseColWidth="10" defaultRowHeight="14"/>
  <sheetData>
    <row r="1" spans="1:13" ht="15" thickBot="1">
      <c r="A1" s="140"/>
      <c r="B1" s="141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13" ht="16" thickBot="1">
      <c r="A2" s="143"/>
      <c r="B2" s="144" t="s">
        <v>94</v>
      </c>
      <c r="C2" s="145" t="s">
        <v>124</v>
      </c>
      <c r="D2" s="146"/>
      <c r="E2" s="146"/>
      <c r="F2" s="146"/>
      <c r="G2" s="146"/>
      <c r="H2" s="146"/>
      <c r="I2" s="146"/>
      <c r="J2" s="146"/>
      <c r="K2" s="146"/>
      <c r="L2" s="146"/>
      <c r="M2" s="146"/>
    </row>
    <row r="3" spans="1:13" ht="36" thickTop="1" thickBot="1">
      <c r="A3" s="143"/>
      <c r="B3" s="147" t="s">
        <v>95</v>
      </c>
      <c r="C3" s="148">
        <v>0.05</v>
      </c>
      <c r="D3" s="149"/>
      <c r="E3" s="150" t="s">
        <v>96</v>
      </c>
      <c r="F3" s="151"/>
      <c r="G3" s="152" t="s">
        <v>29</v>
      </c>
      <c r="H3" s="153">
        <v>0.1</v>
      </c>
      <c r="I3" s="154">
        <v>0.1</v>
      </c>
      <c r="J3" s="154">
        <v>0.1</v>
      </c>
      <c r="K3" s="154">
        <v>0.1</v>
      </c>
      <c r="L3" s="154">
        <v>0.1</v>
      </c>
      <c r="M3" s="146"/>
    </row>
    <row r="4" spans="1:13" ht="35" thickBot="1">
      <c r="A4" s="143"/>
      <c r="B4" s="147" t="s">
        <v>97</v>
      </c>
      <c r="C4" s="155">
        <v>2.5000000000000001E-2</v>
      </c>
      <c r="D4" s="146"/>
      <c r="E4" s="156"/>
      <c r="F4" s="157"/>
      <c r="G4" s="158" t="s">
        <v>30</v>
      </c>
      <c r="H4" s="153">
        <v>0.3</v>
      </c>
      <c r="I4" s="154">
        <v>0.3</v>
      </c>
      <c r="J4" s="154">
        <v>0.2</v>
      </c>
      <c r="K4" s="154">
        <v>0.2</v>
      </c>
      <c r="L4" s="154">
        <v>0.2</v>
      </c>
      <c r="M4" s="146"/>
    </row>
    <row r="5" spans="1:13" ht="35" thickBot="1">
      <c r="A5" s="143"/>
      <c r="B5" s="147" t="s">
        <v>98</v>
      </c>
      <c r="C5" s="159">
        <v>0.1</v>
      </c>
      <c r="D5" s="146"/>
      <c r="E5" s="160"/>
      <c r="F5" s="157"/>
      <c r="G5" s="161"/>
      <c r="H5" s="149"/>
      <c r="I5" s="162" t="s">
        <v>31</v>
      </c>
      <c r="J5" s="163">
        <v>23946</v>
      </c>
      <c r="K5" s="146"/>
      <c r="L5" s="146"/>
      <c r="M5" s="146"/>
    </row>
    <row r="6" spans="1:13" ht="52" thickBot="1">
      <c r="A6" s="143"/>
      <c r="B6" s="147" t="s">
        <v>41</v>
      </c>
      <c r="C6" s="159">
        <v>0.1</v>
      </c>
      <c r="D6" s="146"/>
      <c r="E6" s="476" t="s">
        <v>99</v>
      </c>
      <c r="F6" s="477"/>
      <c r="G6" s="478"/>
      <c r="H6" s="146"/>
      <c r="I6" s="146"/>
      <c r="J6" s="146"/>
      <c r="K6" s="146"/>
      <c r="L6" s="146"/>
      <c r="M6" s="146"/>
    </row>
    <row r="7" spans="1:13" ht="35" thickBot="1">
      <c r="A7" s="143"/>
      <c r="B7" s="147" t="s">
        <v>100</v>
      </c>
      <c r="C7" s="20">
        <v>0.20930000000000001</v>
      </c>
      <c r="D7" s="149"/>
      <c r="E7" s="164" t="s">
        <v>101</v>
      </c>
      <c r="F7" s="165" t="s">
        <v>102</v>
      </c>
      <c r="G7" s="166" t="s">
        <v>103</v>
      </c>
      <c r="H7" s="149"/>
      <c r="I7" s="167" t="s">
        <v>104</v>
      </c>
      <c r="J7" s="168">
        <v>0.4</v>
      </c>
      <c r="K7" s="146"/>
      <c r="L7" s="146"/>
      <c r="M7" s="146"/>
    </row>
    <row r="8" spans="1:13" ht="32" thickBot="1">
      <c r="A8" s="143"/>
      <c r="B8" s="169" t="s">
        <v>105</v>
      </c>
      <c r="C8" s="170">
        <v>0.05</v>
      </c>
      <c r="D8" s="146"/>
      <c r="E8" s="171">
        <v>0</v>
      </c>
      <c r="F8" s="172">
        <v>0</v>
      </c>
      <c r="G8" s="173">
        <v>0</v>
      </c>
      <c r="H8" s="149"/>
      <c r="I8" s="167" t="s">
        <v>106</v>
      </c>
      <c r="J8" s="168">
        <v>0.1</v>
      </c>
      <c r="K8" s="146"/>
      <c r="L8" s="146" t="s">
        <v>34</v>
      </c>
      <c r="M8" s="146"/>
    </row>
    <row r="9" spans="1:13" ht="15" thickBot="1">
      <c r="A9" s="143"/>
      <c r="B9" s="174"/>
      <c r="C9" s="175"/>
      <c r="D9" s="175"/>
      <c r="E9" s="142"/>
      <c r="F9" s="142"/>
      <c r="G9" s="142"/>
      <c r="H9" s="175"/>
      <c r="I9" s="146"/>
      <c r="J9" s="146"/>
      <c r="K9" s="146"/>
      <c r="L9" s="146"/>
      <c r="M9" s="146"/>
    </row>
    <row r="10" spans="1:13" ht="15" thickBot="1">
      <c r="A10" s="143"/>
      <c r="B10" s="176" t="s">
        <v>107</v>
      </c>
      <c r="C10" s="177">
        <v>2022</v>
      </c>
      <c r="D10" s="178">
        <v>2023</v>
      </c>
      <c r="E10" s="178">
        <v>2024</v>
      </c>
      <c r="F10" s="178">
        <v>2025</v>
      </c>
      <c r="G10" s="178">
        <v>2026</v>
      </c>
      <c r="H10" s="178">
        <v>2027</v>
      </c>
      <c r="I10" s="178">
        <v>2028</v>
      </c>
      <c r="J10" s="178">
        <v>2029</v>
      </c>
      <c r="K10" s="178">
        <v>2030</v>
      </c>
      <c r="L10" s="178">
        <v>2031</v>
      </c>
      <c r="M10" s="178">
        <v>2032</v>
      </c>
    </row>
    <row r="11" spans="1:13" ht="18" thickBot="1">
      <c r="A11" s="143"/>
      <c r="B11" s="147" t="s">
        <v>108</v>
      </c>
      <c r="C11" s="163">
        <v>3124</v>
      </c>
      <c r="D11" s="179">
        <v>27692</v>
      </c>
      <c r="E11" s="179">
        <v>33230</v>
      </c>
      <c r="F11" s="179">
        <v>39876</v>
      </c>
      <c r="G11" s="179">
        <v>47851</v>
      </c>
      <c r="H11" s="179">
        <v>57421</v>
      </c>
      <c r="I11" s="179">
        <v>63163</v>
      </c>
      <c r="J11" s="179">
        <v>69480</v>
      </c>
      <c r="K11" s="179">
        <v>76427</v>
      </c>
      <c r="L11" s="179">
        <v>84070</v>
      </c>
      <c r="M11" s="179">
        <v>92477</v>
      </c>
    </row>
    <row r="12" spans="1:13" ht="52" thickBot="1">
      <c r="A12" s="143"/>
      <c r="B12" s="147" t="s">
        <v>109</v>
      </c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1">
        <v>1263855.7050000001</v>
      </c>
    </row>
    <row r="13" spans="1:13" ht="20" thickBot="1">
      <c r="A13" s="143"/>
      <c r="B13" s="182" t="s">
        <v>110</v>
      </c>
      <c r="C13" s="180"/>
      <c r="D13" s="179">
        <v>27692</v>
      </c>
      <c r="E13" s="179">
        <v>33230</v>
      </c>
      <c r="F13" s="179">
        <v>39876</v>
      </c>
      <c r="G13" s="179">
        <v>47851</v>
      </c>
      <c r="H13" s="179">
        <v>57421</v>
      </c>
      <c r="I13" s="179">
        <v>63163</v>
      </c>
      <c r="J13" s="179">
        <v>69480</v>
      </c>
      <c r="K13" s="179">
        <v>76427</v>
      </c>
      <c r="L13" s="179">
        <v>84070</v>
      </c>
      <c r="M13" s="181">
        <v>1356332.952</v>
      </c>
    </row>
    <row r="14" spans="1:13" ht="15" thickBot="1">
      <c r="A14" s="143"/>
      <c r="B14" s="183" t="s">
        <v>35</v>
      </c>
      <c r="C14" s="184">
        <v>0.43319999999999997</v>
      </c>
      <c r="D14" s="184">
        <v>0.49980000000000002</v>
      </c>
      <c r="E14" s="184">
        <v>0.46139999999999998</v>
      </c>
      <c r="F14" s="184">
        <v>0.46139999999999998</v>
      </c>
      <c r="G14" s="184">
        <v>0.46139999999999998</v>
      </c>
      <c r="H14" s="184">
        <v>0.46139999999999998</v>
      </c>
      <c r="I14" s="185">
        <v>0.46139999999999998</v>
      </c>
      <c r="J14" s="185">
        <v>0.46139999999999998</v>
      </c>
      <c r="K14" s="185">
        <v>0.46139999999999998</v>
      </c>
      <c r="L14" s="185">
        <v>0.46139999999999998</v>
      </c>
      <c r="M14" s="185">
        <v>0.46139999999999998</v>
      </c>
    </row>
    <row r="15" spans="1:13" ht="15" thickBot="1">
      <c r="A15" s="143"/>
      <c r="B15" s="186"/>
      <c r="C15" s="146"/>
      <c r="D15" s="146"/>
      <c r="E15" s="187"/>
      <c r="F15" s="187"/>
      <c r="G15" s="187"/>
      <c r="H15" s="146"/>
      <c r="I15" s="146"/>
      <c r="J15" s="146"/>
      <c r="K15" s="146"/>
      <c r="L15" s="146"/>
      <c r="M15" s="146"/>
    </row>
    <row r="16" spans="1:13" ht="16" thickTop="1" thickBot="1">
      <c r="A16" s="143"/>
      <c r="B16" s="479" t="s">
        <v>111</v>
      </c>
      <c r="C16" s="480"/>
      <c r="D16" s="188"/>
      <c r="E16" s="481" t="s">
        <v>17</v>
      </c>
      <c r="F16" s="483">
        <v>158.52474549999999</v>
      </c>
      <c r="G16" s="484"/>
      <c r="H16" s="149"/>
      <c r="I16" s="146"/>
      <c r="J16" s="146"/>
      <c r="K16" s="146"/>
      <c r="L16" s="146"/>
      <c r="M16" s="146"/>
    </row>
    <row r="17" spans="1:13" ht="45" thickBot="1">
      <c r="A17" s="143"/>
      <c r="B17" s="189" t="s">
        <v>112</v>
      </c>
      <c r="C17" s="190" t="s">
        <v>113</v>
      </c>
      <c r="D17" s="188"/>
      <c r="E17" s="482"/>
      <c r="F17" s="485"/>
      <c r="G17" s="486"/>
      <c r="H17" s="149"/>
      <c r="I17" s="146"/>
      <c r="J17" s="146"/>
      <c r="K17" s="146"/>
      <c r="L17" s="146"/>
      <c r="M17" s="146"/>
    </row>
    <row r="18" spans="1:13" ht="35" thickBot="1">
      <c r="A18" s="143"/>
      <c r="B18" s="191" t="s">
        <v>114</v>
      </c>
      <c r="C18" s="44">
        <v>13912</v>
      </c>
      <c r="D18" s="149"/>
      <c r="E18" s="192"/>
      <c r="F18" s="192"/>
      <c r="G18" s="192"/>
      <c r="H18" s="146"/>
      <c r="I18" s="146"/>
      <c r="J18" s="146"/>
      <c r="K18" s="146"/>
      <c r="L18" s="146"/>
      <c r="M18" s="146"/>
    </row>
    <row r="19" spans="1:13" ht="18" thickBot="1">
      <c r="A19" s="143"/>
      <c r="B19" s="191" t="s">
        <v>115</v>
      </c>
      <c r="C19" s="193">
        <v>4847</v>
      </c>
      <c r="D19" s="146"/>
      <c r="E19" s="194"/>
      <c r="F19" s="194"/>
      <c r="G19" s="194"/>
      <c r="H19" s="146"/>
      <c r="I19" s="146"/>
      <c r="J19" s="146"/>
      <c r="K19" s="146"/>
      <c r="L19" s="146"/>
      <c r="M19" s="146"/>
    </row>
    <row r="20" spans="1:13" ht="19" thickTop="1" thickBot="1">
      <c r="A20" s="143"/>
      <c r="B20" s="189" t="s">
        <v>116</v>
      </c>
      <c r="C20" s="178">
        <v>760918.77850000001</v>
      </c>
      <c r="D20" s="195"/>
      <c r="E20" s="487" t="s">
        <v>117</v>
      </c>
      <c r="F20" s="489">
        <v>160.52000000000001</v>
      </c>
      <c r="G20" s="490"/>
      <c r="H20" s="149"/>
      <c r="I20" s="146"/>
      <c r="J20" s="146"/>
      <c r="K20" s="146"/>
      <c r="L20" s="146"/>
      <c r="M20" s="146"/>
    </row>
    <row r="21" spans="1:13" ht="18" thickBot="1">
      <c r="A21" s="143"/>
      <c r="B21" s="197" t="s">
        <v>118</v>
      </c>
      <c r="C21" s="198">
        <v>415</v>
      </c>
      <c r="D21" s="195"/>
      <c r="E21" s="488"/>
      <c r="F21" s="491"/>
      <c r="G21" s="492"/>
      <c r="H21" s="149"/>
      <c r="I21" s="146"/>
      <c r="J21" s="146"/>
      <c r="K21" s="146"/>
      <c r="L21" s="146"/>
      <c r="M21" s="146"/>
    </row>
    <row r="22" spans="1:13" ht="18" thickBot="1">
      <c r="A22" s="199"/>
      <c r="B22" s="200" t="s">
        <v>119</v>
      </c>
      <c r="C22" s="201">
        <v>158.52474549999999</v>
      </c>
      <c r="D22" s="149"/>
      <c r="E22" s="192"/>
      <c r="F22" s="192"/>
      <c r="G22" s="192"/>
      <c r="H22" s="146"/>
      <c r="I22" s="146"/>
      <c r="J22" s="146"/>
      <c r="K22" s="146"/>
      <c r="L22" s="146"/>
      <c r="M22" s="146"/>
    </row>
    <row r="23" spans="1:13" ht="18" thickBot="1">
      <c r="A23" s="143"/>
      <c r="B23" s="202" t="s">
        <v>120</v>
      </c>
      <c r="C23" s="203">
        <v>106.52</v>
      </c>
      <c r="D23" s="146"/>
      <c r="E23" s="146"/>
      <c r="F23" s="146"/>
      <c r="G23" s="146"/>
      <c r="H23" s="146"/>
      <c r="I23" s="146"/>
      <c r="J23" s="146"/>
      <c r="K23" s="146"/>
      <c r="L23" s="146"/>
      <c r="M23" s="146"/>
    </row>
    <row r="24" spans="1:13" ht="20" thickBot="1">
      <c r="A24" s="143"/>
      <c r="B24" s="204" t="s">
        <v>121</v>
      </c>
      <c r="C24" s="205">
        <v>-1.2429943000000001E-2</v>
      </c>
      <c r="D24" s="146"/>
      <c r="E24" s="146"/>
      <c r="F24" s="146"/>
      <c r="G24" s="146"/>
      <c r="H24" s="146"/>
      <c r="I24" s="146"/>
      <c r="J24" s="146"/>
      <c r="K24" s="146"/>
      <c r="L24" s="146"/>
      <c r="M24" s="146"/>
    </row>
    <row r="25" spans="1:13" ht="18" thickBot="1">
      <c r="A25" s="143"/>
      <c r="B25" s="206" t="s">
        <v>122</v>
      </c>
      <c r="C25" s="207" t="s">
        <v>123</v>
      </c>
      <c r="D25" s="149"/>
      <c r="E25" s="146"/>
      <c r="F25" s="146"/>
      <c r="G25" s="146"/>
      <c r="H25" s="146"/>
      <c r="I25" s="146"/>
      <c r="J25" s="146"/>
      <c r="K25" s="146"/>
      <c r="L25" s="146"/>
      <c r="M25" s="146"/>
    </row>
    <row r="26" spans="1:13" ht="15" thickBot="1">
      <c r="A26" s="143"/>
      <c r="B26" s="174"/>
      <c r="C26" s="142"/>
      <c r="D26" s="146"/>
      <c r="E26" s="146"/>
      <c r="F26" s="146"/>
      <c r="G26" s="146"/>
      <c r="H26" s="146"/>
      <c r="I26" s="146"/>
      <c r="J26" s="146"/>
      <c r="K26" s="146"/>
      <c r="L26" s="146"/>
      <c r="M26" s="146"/>
    </row>
    <row r="27" spans="1:13">
      <c r="A27" s="208"/>
      <c r="B27" s="208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</row>
    <row r="28" spans="1:13">
      <c r="A28" s="208"/>
      <c r="B28" s="208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</row>
    <row r="29" spans="1:13" ht="42" customHeight="1">
      <c r="A29" s="208"/>
      <c r="B29" s="452" t="s">
        <v>36</v>
      </c>
      <c r="C29" s="452"/>
      <c r="D29" s="452"/>
      <c r="E29" s="196"/>
      <c r="F29" s="196"/>
      <c r="G29" s="196"/>
      <c r="H29" s="196"/>
      <c r="I29" s="196"/>
      <c r="J29" s="196"/>
      <c r="K29" s="196"/>
      <c r="L29" s="196"/>
      <c r="M29" s="196"/>
    </row>
    <row r="30" spans="1:13">
      <c r="A30" s="208"/>
      <c r="B30" s="452"/>
      <c r="C30" s="452"/>
      <c r="D30" s="452"/>
      <c r="E30" s="196"/>
      <c r="F30" s="196"/>
      <c r="G30" s="196"/>
      <c r="H30" s="196"/>
      <c r="I30" s="196"/>
      <c r="J30" s="196"/>
      <c r="K30" s="196"/>
      <c r="L30" s="196"/>
      <c r="M30" s="196"/>
    </row>
    <row r="31" spans="1:13">
      <c r="A31" s="208"/>
      <c r="B31" s="452"/>
      <c r="C31" s="452"/>
      <c r="D31" s="452"/>
      <c r="E31" s="196"/>
      <c r="F31" s="196"/>
      <c r="G31" s="196"/>
      <c r="H31" s="196"/>
      <c r="I31" s="196"/>
      <c r="J31" s="196"/>
      <c r="K31" s="196"/>
      <c r="L31" s="196"/>
      <c r="M31" s="196"/>
    </row>
    <row r="32" spans="1:13">
      <c r="A32" s="208"/>
      <c r="B32" s="452"/>
      <c r="C32" s="452"/>
      <c r="D32" s="452"/>
      <c r="E32" s="196"/>
      <c r="F32" s="196"/>
      <c r="G32" s="196"/>
      <c r="H32" s="196"/>
      <c r="I32" s="196"/>
      <c r="J32" s="196"/>
      <c r="K32" s="196"/>
      <c r="L32" s="196"/>
      <c r="M32" s="196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E744E-0CBA-674C-BDF7-B5D6B73194EE}">
  <dimension ref="A1:M32"/>
  <sheetViews>
    <sheetView zoomScale="150" workbookViewId="0">
      <selection activeCell="E40" sqref="E40"/>
    </sheetView>
  </sheetViews>
  <sheetFormatPr baseColWidth="10" defaultColWidth="9" defaultRowHeight="14"/>
  <cols>
    <col min="2" max="2" width="20.1640625" customWidth="1"/>
    <col min="3" max="3" width="16.33203125" style="136" customWidth="1"/>
    <col min="4" max="4" width="12.5" style="136" customWidth="1"/>
    <col min="5" max="6" width="9.1640625" style="136" bestFit="1" customWidth="1"/>
    <col min="7" max="7" width="21.83203125" style="136" customWidth="1"/>
    <col min="8" max="8" width="9.1640625" style="136" bestFit="1" customWidth="1"/>
    <col min="9" max="9" width="15.6640625" style="136" customWidth="1"/>
    <col min="10" max="12" width="9.1640625" style="136" bestFit="1" customWidth="1"/>
    <col min="13" max="13" width="13.1640625" style="136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93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0.3</v>
      </c>
      <c r="I3" s="12">
        <v>0.3</v>
      </c>
      <c r="J3" s="12">
        <v>0.2</v>
      </c>
      <c r="K3" s="12">
        <v>0.15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2651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93" t="s">
        <v>6</v>
      </c>
      <c r="F6" s="494"/>
      <c r="G6" s="49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37" t="s">
        <v>12</v>
      </c>
      <c r="C10" s="30">
        <v>2022</v>
      </c>
      <c r="D10" s="138">
        <v>2023</v>
      </c>
      <c r="E10" s="138">
        <v>2024</v>
      </c>
      <c r="F10" s="138">
        <v>2025</v>
      </c>
      <c r="G10" s="138">
        <v>2026</v>
      </c>
      <c r="H10" s="138">
        <v>2027</v>
      </c>
      <c r="I10" s="138">
        <v>2028</v>
      </c>
      <c r="J10" s="138">
        <v>2029</v>
      </c>
      <c r="K10" s="138">
        <v>2030</v>
      </c>
      <c r="L10" s="138">
        <v>2031</v>
      </c>
      <c r="M10" s="138">
        <v>2032</v>
      </c>
    </row>
    <row r="11" spans="1:13" ht="18" thickBot="1">
      <c r="A11" s="2"/>
      <c r="B11" s="7" t="s">
        <v>13</v>
      </c>
      <c r="C11" s="32">
        <v>535.66</v>
      </c>
      <c r="D11" s="33">
        <f>C11*(1+H3)</f>
        <v>696.35799999999995</v>
      </c>
      <c r="E11" s="33">
        <f>D11*(1+$I$3)</f>
        <v>905.2654</v>
      </c>
      <c r="F11" s="33">
        <f>E11*(1+$J$3)</f>
        <v>1086.3184799999999</v>
      </c>
      <c r="G11" s="33">
        <f>F11*(1+$K$3)</f>
        <v>1249.2662519999999</v>
      </c>
      <c r="H11" s="33">
        <f>G11*(1+$L$3)</f>
        <v>1374.1928771999999</v>
      </c>
      <c r="I11" s="33">
        <f>H11*(1+$C$8)</f>
        <v>1511.6121649199999</v>
      </c>
      <c r="J11" s="33">
        <f>I11*(1+$C$8)</f>
        <v>1662.7733814120002</v>
      </c>
      <c r="K11" s="33">
        <f>J11*(1+$C$8)</f>
        <v>1829.0507195532002</v>
      </c>
      <c r="L11" s="33">
        <f>K11*(1+$C$8)</f>
        <v>2011.9557915085204</v>
      </c>
      <c r="M11" s="33">
        <f>L11*(1+$C$8)</f>
        <v>2213.1513706593728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30246.402065678085</v>
      </c>
    </row>
    <row r="13" spans="1:13" ht="20" thickBot="1">
      <c r="A13" s="2"/>
      <c r="B13" s="35" t="s">
        <v>15</v>
      </c>
      <c r="C13" s="34"/>
      <c r="D13" s="33">
        <f t="shared" ref="D13:L13" si="0">D11</f>
        <v>696.35799999999995</v>
      </c>
      <c r="E13" s="33">
        <f t="shared" si="0"/>
        <v>905.2654</v>
      </c>
      <c r="F13" s="33">
        <f t="shared" si="0"/>
        <v>1086.3184799999999</v>
      </c>
      <c r="G13" s="33">
        <f t="shared" si="0"/>
        <v>1249.2662519999999</v>
      </c>
      <c r="H13" s="33">
        <f t="shared" si="0"/>
        <v>1374.1928771999999</v>
      </c>
      <c r="I13" s="33">
        <f t="shared" si="0"/>
        <v>1511.6121649199999</v>
      </c>
      <c r="J13" s="33">
        <f t="shared" si="0"/>
        <v>1662.7733814120002</v>
      </c>
      <c r="K13" s="33">
        <f t="shared" si="0"/>
        <v>1829.0507195532002</v>
      </c>
      <c r="L13" s="33">
        <f t="shared" si="0"/>
        <v>2011.9557915085204</v>
      </c>
      <c r="M13" s="60">
        <f>M11+M12</f>
        <v>32459.553436337457</v>
      </c>
    </row>
    <row r="14" spans="1:13" ht="15" thickBot="1">
      <c r="A14" s="2"/>
      <c r="B14" s="36" t="s">
        <v>35</v>
      </c>
      <c r="C14" s="37">
        <f>C11/J5</f>
        <v>0.20205960015088645</v>
      </c>
      <c r="D14" s="37">
        <f>C14*(1+$H$3)/(1+$H$4)</f>
        <v>0.20205960015088645</v>
      </c>
      <c r="E14" s="37">
        <f>D14*(1+$I$3)/(1+$I$4)</f>
        <v>0.20205960015088645</v>
      </c>
      <c r="F14" s="37">
        <f>E14*(1+$J$3)/(1+$J$4)</f>
        <v>0.20205960015088645</v>
      </c>
      <c r="G14" s="37">
        <f>F14*(1+$K$3)/(1+$K$4)</f>
        <v>0.19364045014459952</v>
      </c>
      <c r="H14" s="37">
        <f>G14*(1+$L$3)/(1+$L$4)</f>
        <v>0.17750374596588289</v>
      </c>
      <c r="I14" s="61">
        <f>H14*(1+$C$8)/(1+$J$8)</f>
        <v>0.17750374596588289</v>
      </c>
      <c r="J14" s="61">
        <f>I14*(1+$C$8)/(1+$J$8)</f>
        <v>0.17750374596588289</v>
      </c>
      <c r="K14" s="61">
        <f>J14*(1+$C$8)/(1+$J$8)</f>
        <v>0.17750374596588289</v>
      </c>
      <c r="L14" s="61">
        <f>K14*(1+$C$8)/(1+$J$8)</f>
        <v>0.17750374596588289</v>
      </c>
      <c r="M14" s="61">
        <f>L14*(1+$C$8)/(1+$J$8)</f>
        <v>0.17750374596588289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Top="1" thickBot="1">
      <c r="A16" s="2"/>
      <c r="B16" s="496" t="s">
        <v>16</v>
      </c>
      <c r="C16" s="497"/>
      <c r="D16" s="40"/>
      <c r="E16" s="498" t="s">
        <v>80</v>
      </c>
      <c r="F16" s="500">
        <f>C22</f>
        <v>42.706766203867581</v>
      </c>
      <c r="G16" s="501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19831.530064886265</v>
      </c>
      <c r="D17" s="40"/>
      <c r="E17" s="499"/>
      <c r="F17" s="502"/>
      <c r="G17" s="503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361.62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1573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Top="1" thickBot="1">
      <c r="A20" s="2"/>
      <c r="B20" s="46" t="s">
        <v>21</v>
      </c>
      <c r="C20" s="138">
        <f>C17+C18-C19</f>
        <v>18620.150064886264</v>
      </c>
      <c r="D20" s="47"/>
      <c r="E20" s="504" t="s">
        <v>22</v>
      </c>
      <c r="F20" s="506">
        <f>C23</f>
        <v>57.63</v>
      </c>
      <c r="G20" s="507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436</v>
      </c>
      <c r="D21" s="47"/>
      <c r="E21" s="505"/>
      <c r="F21" s="508"/>
      <c r="G21" s="50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42.706766203867581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57.63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-0.25894905077446506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452" t="s">
        <v>36</v>
      </c>
      <c r="C29" s="452"/>
      <c r="D29" s="452"/>
    </row>
    <row r="30" spans="1:13">
      <c r="B30" s="452"/>
      <c r="C30" s="452"/>
      <c r="D30" s="452"/>
    </row>
    <row r="31" spans="1:13">
      <c r="B31" s="452"/>
      <c r="C31" s="452"/>
      <c r="D31" s="452"/>
    </row>
    <row r="32" spans="1:13">
      <c r="B32" s="452"/>
      <c r="C32" s="452"/>
      <c r="D32" s="452"/>
    </row>
  </sheetData>
  <mergeCells count="7">
    <mergeCell ref="B29:D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ED9DD-1EDE-FA4F-8EA4-2BC09A4F6B1F}">
  <dimension ref="A1:M32"/>
  <sheetViews>
    <sheetView zoomScale="137" workbookViewId="0">
      <selection activeCell="J7" sqref="J7"/>
    </sheetView>
  </sheetViews>
  <sheetFormatPr baseColWidth="10" defaultColWidth="9" defaultRowHeight="14"/>
  <cols>
    <col min="2" max="2" width="20.1640625" customWidth="1"/>
    <col min="3" max="3" width="16.33203125" style="210" customWidth="1"/>
    <col min="4" max="4" width="12.5" style="210" customWidth="1"/>
    <col min="5" max="5" width="9.33203125" style="210" bestFit="1" customWidth="1"/>
    <col min="6" max="6" width="20.6640625" style="210" bestFit="1" customWidth="1"/>
    <col min="7" max="7" width="21.83203125" style="210" customWidth="1"/>
    <col min="8" max="8" width="9.33203125" style="210" bestFit="1" customWidth="1"/>
    <col min="9" max="9" width="15.6640625" style="210" customWidth="1"/>
    <col min="10" max="12" width="9.33203125" style="210" bestFit="1" customWidth="1"/>
    <col min="13" max="13" width="13.33203125" style="21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125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0.2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5273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12" t="s">
        <v>6</v>
      </c>
      <c r="F6" s="212"/>
      <c r="G6" s="21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13" t="s">
        <v>12</v>
      </c>
      <c r="C10" s="30">
        <v>2022</v>
      </c>
      <c r="D10" s="214">
        <v>2023</v>
      </c>
      <c r="E10" s="214">
        <v>2024</v>
      </c>
      <c r="F10" s="214">
        <v>2025</v>
      </c>
      <c r="G10" s="214">
        <v>2026</v>
      </c>
      <c r="H10" s="214">
        <v>2027</v>
      </c>
      <c r="I10" s="214">
        <v>2028</v>
      </c>
      <c r="J10" s="214">
        <v>2029</v>
      </c>
      <c r="K10" s="214">
        <v>2030</v>
      </c>
      <c r="L10" s="214">
        <v>2031</v>
      </c>
      <c r="M10" s="214">
        <v>2032</v>
      </c>
    </row>
    <row r="11" spans="1:13" ht="18" thickBot="1">
      <c r="A11" s="2"/>
      <c r="B11" s="7" t="s">
        <v>13</v>
      </c>
      <c r="C11" s="32">
        <v>1561</v>
      </c>
      <c r="D11" s="33">
        <f>C11*(1+H3)</f>
        <v>2341.5</v>
      </c>
      <c r="E11" s="33">
        <f>D11*(1+$I$3)</f>
        <v>2809.7999999999997</v>
      </c>
      <c r="F11" s="33">
        <f>E11*(1+$J$3)</f>
        <v>3371.7599999999998</v>
      </c>
      <c r="G11" s="33">
        <f>F11*(1+$K$3)</f>
        <v>4046.1119999999996</v>
      </c>
      <c r="H11" s="33">
        <f>G11*(1+$L$3)</f>
        <v>4855.3343999999997</v>
      </c>
      <c r="I11" s="33">
        <f>H11*(1+$C$8)</f>
        <v>5340.8678399999999</v>
      </c>
      <c r="J11" s="33">
        <f>I11*(1+$C$8)</f>
        <v>5874.954624</v>
      </c>
      <c r="K11" s="33">
        <f>J11*(1+$C$8)</f>
        <v>6462.4500864000001</v>
      </c>
      <c r="L11" s="33">
        <f>K11*(1+$C$8)</f>
        <v>7108.6950950400005</v>
      </c>
      <c r="M11" s="33">
        <f>L11*(1+$C$8)</f>
        <v>7819.5646045440008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106867.38292876798</v>
      </c>
    </row>
    <row r="13" spans="1:13" ht="20" thickBot="1">
      <c r="A13" s="2"/>
      <c r="B13" s="35" t="s">
        <v>15</v>
      </c>
      <c r="C13" s="34"/>
      <c r="D13" s="33">
        <f t="shared" ref="D13:L13" si="0">D11</f>
        <v>2341.5</v>
      </c>
      <c r="E13" s="33">
        <f t="shared" si="0"/>
        <v>2809.7999999999997</v>
      </c>
      <c r="F13" s="33">
        <f t="shared" si="0"/>
        <v>3371.7599999999998</v>
      </c>
      <c r="G13" s="33">
        <f t="shared" si="0"/>
        <v>4046.1119999999996</v>
      </c>
      <c r="H13" s="33">
        <f t="shared" si="0"/>
        <v>4855.3343999999997</v>
      </c>
      <c r="I13" s="33">
        <f t="shared" si="0"/>
        <v>5340.8678399999999</v>
      </c>
      <c r="J13" s="33">
        <f t="shared" si="0"/>
        <v>5874.954624</v>
      </c>
      <c r="K13" s="33">
        <f t="shared" si="0"/>
        <v>6462.4500864000001</v>
      </c>
      <c r="L13" s="33">
        <f t="shared" si="0"/>
        <v>7108.6950950400005</v>
      </c>
      <c r="M13" s="60">
        <f>M11+M12</f>
        <v>114686.94753331199</v>
      </c>
    </row>
    <row r="14" spans="1:13" ht="15" thickBot="1">
      <c r="A14" s="2"/>
      <c r="B14" s="36" t="s">
        <v>35</v>
      </c>
      <c r="C14" s="37">
        <f>C11/J5</f>
        <v>0.29603641190972879</v>
      </c>
      <c r="D14" s="37">
        <f>C14*(1+$H$3)/(1+$H$4)</f>
        <v>0.34158047528045632</v>
      </c>
      <c r="E14" s="37">
        <f>D14*(1+$I$3)/(1+$I$4)</f>
        <v>0.31530505410503656</v>
      </c>
      <c r="F14" s="37">
        <f>E14*(1+$J$3)/(1+$J$4)</f>
        <v>0.31530505410503656</v>
      </c>
      <c r="G14" s="37">
        <f>F14*(1+$K$3)/(1+$K$4)</f>
        <v>0.31530505410503656</v>
      </c>
      <c r="H14" s="37">
        <f>G14*(1+$L$3)/(1+$L$4)</f>
        <v>0.31530505410503656</v>
      </c>
      <c r="I14" s="61">
        <f>H14*(1+$C$8)/(1+$J$8)</f>
        <v>0.31530505410503656</v>
      </c>
      <c r="J14" s="61">
        <f>I14*(1+$C$8)/(1+$J$8)</f>
        <v>0.31530505410503656</v>
      </c>
      <c r="K14" s="61">
        <f>J14*(1+$C$8)/(1+$J$8)</f>
        <v>0.31530505410503656</v>
      </c>
      <c r="L14" s="61">
        <f>K14*(1+$C$8)/(1+$J$8)</f>
        <v>0.31530505410503656</v>
      </c>
      <c r="M14" s="61">
        <f>L14*(1+$C$8)/(1+$J$8)</f>
        <v>0.31530505410503656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13" t="s">
        <v>16</v>
      </c>
      <c r="C16" s="214"/>
      <c r="D16" s="40"/>
      <c r="E16" s="215" t="s">
        <v>80</v>
      </c>
      <c r="F16" s="216">
        <f>C22</f>
        <v>15.405057093524748</v>
      </c>
      <c r="G16" s="21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69038.273559307243</v>
      </c>
      <c r="D17" s="40"/>
      <c r="E17" s="216"/>
      <c r="F17" s="216"/>
      <c r="G17" s="21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8530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2407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14">
        <f>C17+C18-C19</f>
        <v>75161.273559307243</v>
      </c>
      <c r="D20" s="47"/>
      <c r="E20" s="217" t="s">
        <v>22</v>
      </c>
      <c r="F20" s="218">
        <f>C23</f>
        <v>13.69</v>
      </c>
      <c r="G20" s="21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4879</v>
      </c>
      <c r="D21" s="47"/>
      <c r="E21" s="217"/>
      <c r="F21" s="218"/>
      <c r="G21" s="21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15.405057093524748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13.69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0.12527809302591297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09" t="s">
        <v>36</v>
      </c>
    </row>
    <row r="30" spans="1:13">
      <c r="B30" s="211"/>
    </row>
    <row r="31" spans="1:13">
      <c r="B31" s="211"/>
    </row>
    <row r="32" spans="1:13">
      <c r="B32" s="211"/>
    </row>
  </sheetData>
  <phoneticPr fontId="23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7ACE3-0233-9F43-A937-33D4427A3D74}">
  <dimension ref="A1:M32"/>
  <sheetViews>
    <sheetView zoomScale="167" workbookViewId="0">
      <selection activeCell="G26" sqref="A1:XFD1048576"/>
    </sheetView>
  </sheetViews>
  <sheetFormatPr baseColWidth="10" defaultColWidth="9" defaultRowHeight="14"/>
  <cols>
    <col min="2" max="2" width="20.1640625" customWidth="1"/>
    <col min="3" max="3" width="16.33203125" style="210" customWidth="1"/>
    <col min="4" max="4" width="12.5" style="210" customWidth="1"/>
    <col min="5" max="5" width="9.33203125" style="210" bestFit="1" customWidth="1"/>
    <col min="6" max="6" width="20.6640625" style="210" bestFit="1" customWidth="1"/>
    <col min="7" max="7" width="21.83203125" style="210" customWidth="1"/>
    <col min="8" max="8" width="9.33203125" style="210" bestFit="1" customWidth="1"/>
    <col min="9" max="9" width="15.6640625" style="210" customWidth="1"/>
    <col min="10" max="12" width="9.33203125" style="210" bestFit="1" customWidth="1"/>
    <col min="13" max="13" width="13.5" style="21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126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0.8</v>
      </c>
      <c r="I3" s="12">
        <v>0.6</v>
      </c>
      <c r="J3" s="12">
        <v>0.4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42619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12" t="s">
        <v>6</v>
      </c>
      <c r="F6" s="212"/>
      <c r="G6" s="21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13" t="s">
        <v>12</v>
      </c>
      <c r="C10" s="30">
        <v>2022</v>
      </c>
      <c r="D10" s="214">
        <v>2023</v>
      </c>
      <c r="E10" s="214">
        <v>2024</v>
      </c>
      <c r="F10" s="214">
        <v>2025</v>
      </c>
      <c r="G10" s="214">
        <v>2026</v>
      </c>
      <c r="H10" s="214">
        <v>2027</v>
      </c>
      <c r="I10" s="214">
        <v>2028</v>
      </c>
      <c r="J10" s="214">
        <v>2029</v>
      </c>
      <c r="K10" s="214">
        <v>2030</v>
      </c>
      <c r="L10" s="214">
        <v>2031</v>
      </c>
      <c r="M10" s="214">
        <v>2032</v>
      </c>
    </row>
    <row r="11" spans="1:13" ht="18" thickBot="1">
      <c r="A11" s="2"/>
      <c r="B11" s="7" t="s">
        <v>13</v>
      </c>
      <c r="C11" s="32">
        <v>224</v>
      </c>
      <c r="D11" s="33">
        <f>C11*(1+H3)</f>
        <v>403.2</v>
      </c>
      <c r="E11" s="33">
        <f>D11*(1+$I$3)</f>
        <v>645.12</v>
      </c>
      <c r="F11" s="33">
        <f>E11*(1+$J$3)</f>
        <v>903.16799999999989</v>
      </c>
      <c r="G11" s="33">
        <f>F11*(1+$K$3)</f>
        <v>1083.8015999999998</v>
      </c>
      <c r="H11" s="33">
        <f>G11*(1+$L$3)</f>
        <v>1300.5619199999996</v>
      </c>
      <c r="I11" s="33">
        <f>H11*(1+$C$8)</f>
        <v>1430.6181119999997</v>
      </c>
      <c r="J11" s="33">
        <f>I11*(1+$C$8)</f>
        <v>1573.6799231999998</v>
      </c>
      <c r="K11" s="33">
        <f>J11*(1+$C$8)</f>
        <v>1731.0479155200001</v>
      </c>
      <c r="L11" s="33">
        <f>K11*(1+$C$8)</f>
        <v>1904.1527070720001</v>
      </c>
      <c r="M11" s="33">
        <f>L11*(1+$C$8)</f>
        <v>2094.5679777792002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28625.762362982394</v>
      </c>
    </row>
    <row r="13" spans="1:13" ht="20" thickBot="1">
      <c r="A13" s="2"/>
      <c r="B13" s="35" t="s">
        <v>15</v>
      </c>
      <c r="C13" s="34"/>
      <c r="D13" s="33">
        <f t="shared" ref="D13:L13" si="0">D11</f>
        <v>403.2</v>
      </c>
      <c r="E13" s="33">
        <f t="shared" si="0"/>
        <v>645.12</v>
      </c>
      <c r="F13" s="33">
        <f t="shared" si="0"/>
        <v>903.16799999999989</v>
      </c>
      <c r="G13" s="33">
        <f t="shared" si="0"/>
        <v>1083.8015999999998</v>
      </c>
      <c r="H13" s="33">
        <f t="shared" si="0"/>
        <v>1300.5619199999996</v>
      </c>
      <c r="I13" s="33">
        <f t="shared" si="0"/>
        <v>1430.6181119999997</v>
      </c>
      <c r="J13" s="33">
        <f t="shared" si="0"/>
        <v>1573.6799231999998</v>
      </c>
      <c r="K13" s="33">
        <f t="shared" si="0"/>
        <v>1731.0479155200001</v>
      </c>
      <c r="L13" s="33">
        <f t="shared" si="0"/>
        <v>1904.1527070720001</v>
      </c>
      <c r="M13" s="60">
        <f>M11+M12</f>
        <v>30720.330340761593</v>
      </c>
    </row>
    <row r="14" spans="1:13" ht="15" thickBot="1">
      <c r="A14" s="2"/>
      <c r="B14" s="36" t="s">
        <v>35</v>
      </c>
      <c r="C14" s="37">
        <f>C11/J5</f>
        <v>5.2558717942701614E-3</v>
      </c>
      <c r="D14" s="37">
        <f>C14*(1+$H$3)/(1+$H$4)</f>
        <v>7.2773609459125315E-3</v>
      </c>
      <c r="E14" s="37">
        <f>D14*(1+$I$3)/(1+$I$4)</f>
        <v>8.956751933430809E-3</v>
      </c>
      <c r="F14" s="37">
        <f>E14*(1+$J$3)/(1+$J$4)</f>
        <v>1.0449543922335942E-2</v>
      </c>
      <c r="G14" s="37">
        <f>F14*(1+$K$3)/(1+$K$4)</f>
        <v>1.0449543922335942E-2</v>
      </c>
      <c r="H14" s="37">
        <f>G14*(1+$L$3)/(1+$L$4)</f>
        <v>1.0449543922335942E-2</v>
      </c>
      <c r="I14" s="61">
        <f>H14*(1+$C$8)/(1+$J$8)</f>
        <v>1.0449543922335942E-2</v>
      </c>
      <c r="J14" s="61">
        <f>I14*(1+$C$8)/(1+$J$8)</f>
        <v>1.0449543922335942E-2</v>
      </c>
      <c r="K14" s="61">
        <f>J14*(1+$C$8)/(1+$J$8)</f>
        <v>1.0449543922335942E-2</v>
      </c>
      <c r="L14" s="61">
        <f>K14*(1+$C$8)/(1+$J$8)</f>
        <v>1.0449543922335942E-2</v>
      </c>
      <c r="M14" s="61">
        <f>L14*(1+$C$8)/(1+$J$8)</f>
        <v>1.0449543922335942E-2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13" t="s">
        <v>16</v>
      </c>
      <c r="C16" s="214"/>
      <c r="D16" s="40"/>
      <c r="E16" s="215" t="s">
        <v>80</v>
      </c>
      <c r="F16" s="216">
        <f>C22</f>
        <v>404.94185943741581</v>
      </c>
      <c r="G16" s="21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18200.267393558544</v>
      </c>
      <c r="D17" s="40"/>
      <c r="E17" s="216"/>
      <c r="F17" s="216"/>
      <c r="G17" s="21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888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56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14">
        <f>C17+C18-C19</f>
        <v>19032.267393558544</v>
      </c>
      <c r="D20" s="47"/>
      <c r="E20" s="217" t="s">
        <v>22</v>
      </c>
      <c r="F20" s="218">
        <f>C23</f>
        <v>288</v>
      </c>
      <c r="G20" s="21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47</v>
      </c>
      <c r="D21" s="47"/>
      <c r="E21" s="217"/>
      <c r="F21" s="218"/>
      <c r="G21" s="21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404.94185943741581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288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0.40604812304658267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09" t="s">
        <v>36</v>
      </c>
    </row>
    <row r="30" spans="1:13">
      <c r="B30" s="211"/>
    </row>
    <row r="31" spans="1:13">
      <c r="B31" s="211"/>
    </row>
    <row r="32" spans="1:13">
      <c r="B32" s="211"/>
    </row>
  </sheetData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20873-A4F6-BE49-9CF3-FBF1B26B0CAD}">
  <dimension ref="A1:M32"/>
  <sheetViews>
    <sheetView topLeftCell="A3" zoomScale="140" workbookViewId="0">
      <selection activeCell="B8" sqref="B8"/>
    </sheetView>
  </sheetViews>
  <sheetFormatPr baseColWidth="10" defaultColWidth="9" defaultRowHeight="14"/>
  <cols>
    <col min="2" max="2" width="20.1640625" customWidth="1"/>
    <col min="3" max="3" width="16.33203125" style="127" customWidth="1"/>
    <col min="4" max="4" width="12.5" style="127" customWidth="1"/>
    <col min="5" max="6" width="9.1640625" style="127" bestFit="1" customWidth="1"/>
    <col min="7" max="7" width="21.83203125" style="127" customWidth="1"/>
    <col min="8" max="8" width="9.1640625" style="127" bestFit="1" customWidth="1"/>
    <col min="9" max="9" width="15.6640625" style="127" customWidth="1"/>
    <col min="10" max="12" width="9.1640625" style="127" bestFit="1" customWidth="1"/>
    <col min="13" max="13" width="13.1640625" style="127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89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0.2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42619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26" t="s">
        <v>12</v>
      </c>
      <c r="C10" s="30">
        <v>2022</v>
      </c>
      <c r="D10" s="128">
        <v>2023</v>
      </c>
      <c r="E10" s="128">
        <v>2024</v>
      </c>
      <c r="F10" s="128">
        <v>2025</v>
      </c>
      <c r="G10" s="128">
        <v>2026</v>
      </c>
      <c r="H10" s="128">
        <v>2027</v>
      </c>
      <c r="I10" s="128">
        <v>2028</v>
      </c>
      <c r="J10" s="128">
        <v>2029</v>
      </c>
      <c r="K10" s="128">
        <v>2030</v>
      </c>
      <c r="L10" s="128">
        <v>2031</v>
      </c>
      <c r="M10" s="128">
        <v>2032</v>
      </c>
    </row>
    <row r="11" spans="1:13" ht="18" thickBot="1">
      <c r="A11" s="2"/>
      <c r="B11" s="7" t="s">
        <v>13</v>
      </c>
      <c r="C11" s="32">
        <v>18461</v>
      </c>
      <c r="D11" s="33">
        <f>C11*(1+H3)</f>
        <v>27691.5</v>
      </c>
      <c r="E11" s="33">
        <f>D11*(1+$I$3)</f>
        <v>33229.799999999996</v>
      </c>
      <c r="F11" s="33">
        <f>E11*(1+$J$3)</f>
        <v>39875.759999999995</v>
      </c>
      <c r="G11" s="33">
        <f>F11*(1+$K$3)</f>
        <v>47850.911999999989</v>
      </c>
      <c r="H11" s="33">
        <f>G11*(1+$L$3)</f>
        <v>57421.094399999987</v>
      </c>
      <c r="I11" s="33">
        <f>H11*(1+$C$8)</f>
        <v>63163.203839999995</v>
      </c>
      <c r="J11" s="33">
        <f>I11*(1+$C$8)</f>
        <v>69479.524223999993</v>
      </c>
      <c r="K11" s="33">
        <f>J11*(1+$C$8)</f>
        <v>76427.476646399999</v>
      </c>
      <c r="L11" s="33">
        <f>K11*(1+$C$8)</f>
        <v>84070.224311040001</v>
      </c>
      <c r="M11" s="33">
        <f>L11*(1+$C$8)</f>
        <v>92477.246742144009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G11*(1+C4)/(C6-C4)</f>
        <v>653962.4639999998</v>
      </c>
    </row>
    <row r="13" spans="1:13" ht="20" thickBot="1">
      <c r="A13" s="2"/>
      <c r="B13" s="35" t="s">
        <v>15</v>
      </c>
      <c r="C13" s="34"/>
      <c r="D13" s="33">
        <f t="shared" ref="D13:L13" si="0">D11</f>
        <v>27691.5</v>
      </c>
      <c r="E13" s="33">
        <f t="shared" si="0"/>
        <v>33229.799999999996</v>
      </c>
      <c r="F13" s="33">
        <f t="shared" si="0"/>
        <v>39875.759999999995</v>
      </c>
      <c r="G13" s="33">
        <f t="shared" si="0"/>
        <v>47850.911999999989</v>
      </c>
      <c r="H13" s="33">
        <f t="shared" si="0"/>
        <v>57421.094399999987</v>
      </c>
      <c r="I13" s="33">
        <f>M13</f>
        <v>701813.37599999981</v>
      </c>
      <c r="J13" s="33">
        <f t="shared" si="0"/>
        <v>69479.524223999993</v>
      </c>
      <c r="K13" s="33">
        <f t="shared" si="0"/>
        <v>76427.476646399999</v>
      </c>
      <c r="L13" s="33">
        <f t="shared" si="0"/>
        <v>84070.224311040001</v>
      </c>
      <c r="M13" s="132">
        <f>G11+M12</f>
        <v>701813.37599999981</v>
      </c>
    </row>
    <row r="14" spans="1:13" ht="15" thickBot="1">
      <c r="A14" s="2"/>
      <c r="B14" s="36" t="s">
        <v>35</v>
      </c>
      <c r="C14" s="37">
        <f>C11/J5</f>
        <v>0.43316361247331003</v>
      </c>
      <c r="D14" s="37">
        <f>C14*(1+$H$3)/(1+$H$4)</f>
        <v>0.49980416823843465</v>
      </c>
      <c r="E14" s="37">
        <f>D14*(1+$I$3)/(1+$I$4)</f>
        <v>0.46135769375855507</v>
      </c>
      <c r="F14" s="37">
        <f>E14*(1+$J$3)/(1+$J$4)</f>
        <v>0.46135769375855507</v>
      </c>
      <c r="G14" s="37">
        <f>F14*(1+$K$3)/(1+$K$4)</f>
        <v>0.46135769375855507</v>
      </c>
      <c r="H14" s="37">
        <f>G14*(1+$L$3)/(1+$L$4)</f>
        <v>0.46135769375855507</v>
      </c>
      <c r="I14" s="61">
        <f>H14*(1+$C$8)/(1+$J$8)</f>
        <v>0.46135769375855501</v>
      </c>
      <c r="J14" s="61">
        <f>I14*(1+$C$8)/(1+$J$8)</f>
        <v>0.46135769375855501</v>
      </c>
      <c r="K14" s="61">
        <f>J14*(1+$C$8)/(1+$J$8)</f>
        <v>0.46135769375855501</v>
      </c>
      <c r="L14" s="61">
        <f>K14*(1+$C$8)/(1+$J$8)</f>
        <v>0.46135769375855501</v>
      </c>
      <c r="M14" s="61">
        <f>L14*(1+$C$8)/(1+$J$8)</f>
        <v>0.46135769375855501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102.40273695651267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NPV(C6,D13:I13)</f>
        <v>547088.13739126083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18461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74016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28">
        <f>C17+C18-C19</f>
        <v>491533.13739126083</v>
      </c>
      <c r="D20" s="47"/>
      <c r="E20" s="460" t="s">
        <v>22</v>
      </c>
      <c r="F20" s="461">
        <f>C23</f>
        <v>160.52000000000001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4800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102.40273695651267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160.52000000000001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-0.36205621133495725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62" t="s">
        <v>36</v>
      </c>
      <c r="C29" s="463"/>
      <c r="D29" s="463"/>
      <c r="F29" s="464" t="s">
        <v>90</v>
      </c>
      <c r="G29" s="465"/>
    </row>
    <row r="30" spans="1:13">
      <c r="B30" s="463"/>
      <c r="C30" s="463"/>
      <c r="D30" s="463"/>
      <c r="F30" s="465"/>
      <c r="G30" s="465"/>
    </row>
    <row r="31" spans="1:13">
      <c r="B31" s="463"/>
      <c r="C31" s="463"/>
      <c r="D31" s="463"/>
      <c r="F31" s="465"/>
      <c r="G31" s="465"/>
    </row>
    <row r="32" spans="1:13">
      <c r="B32" s="463"/>
      <c r="C32" s="463"/>
      <c r="D32" s="463"/>
      <c r="F32" s="465"/>
      <c r="G32" s="465"/>
    </row>
  </sheetData>
  <mergeCells count="8">
    <mergeCell ref="B29:D32"/>
    <mergeCell ref="F29:G32"/>
    <mergeCell ref="E6:G6"/>
    <mergeCell ref="B16:C16"/>
    <mergeCell ref="E16:E17"/>
    <mergeCell ref="F16:G17"/>
    <mergeCell ref="E20:E21"/>
    <mergeCell ref="F20:G21"/>
  </mergeCells>
  <phoneticPr fontId="23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2415-B2BB-3A44-A130-12C3CFA73915}">
  <dimension ref="A1:M32"/>
  <sheetViews>
    <sheetView zoomScale="160" workbookViewId="0">
      <selection activeCell="R38" sqref="A1:XFD1048576"/>
    </sheetView>
  </sheetViews>
  <sheetFormatPr baseColWidth="10" defaultColWidth="9" defaultRowHeight="14"/>
  <cols>
    <col min="2" max="2" width="20.1640625" customWidth="1"/>
    <col min="3" max="3" width="16.33203125" style="220" customWidth="1"/>
    <col min="4" max="4" width="12.5" style="220" customWidth="1"/>
    <col min="5" max="5" width="9.33203125" style="220" bestFit="1" customWidth="1"/>
    <col min="6" max="6" width="20.6640625" style="220" bestFit="1" customWidth="1"/>
    <col min="7" max="7" width="21.83203125" style="220" customWidth="1"/>
    <col min="8" max="8" width="9.33203125" style="220" bestFit="1" customWidth="1"/>
    <col min="9" max="9" width="15.6640625" style="220" customWidth="1"/>
    <col min="10" max="12" width="9.33203125" style="220" bestFit="1" customWidth="1"/>
    <col min="13" max="13" width="13.5" style="22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128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0.08</v>
      </c>
      <c r="L3" s="12">
        <v>0.08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4649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22" t="s">
        <v>6</v>
      </c>
      <c r="F6" s="222"/>
      <c r="G6" s="22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0.06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23" t="s">
        <v>12</v>
      </c>
      <c r="C10" s="30">
        <v>2022</v>
      </c>
      <c r="D10" s="224">
        <v>2023</v>
      </c>
      <c r="E10" s="224">
        <v>2024</v>
      </c>
      <c r="F10" s="224">
        <v>2025</v>
      </c>
      <c r="G10" s="224">
        <v>2026</v>
      </c>
      <c r="H10" s="224">
        <v>2027</v>
      </c>
      <c r="I10" s="224">
        <v>2028</v>
      </c>
      <c r="J10" s="224">
        <v>2029</v>
      </c>
      <c r="K10" s="224">
        <v>2030</v>
      </c>
      <c r="L10" s="224">
        <v>2031</v>
      </c>
      <c r="M10" s="224">
        <v>2032</v>
      </c>
    </row>
    <row r="11" spans="1:13" ht="18" thickBot="1">
      <c r="A11" s="2"/>
      <c r="B11" s="7" t="s">
        <v>13</v>
      </c>
      <c r="C11" s="32">
        <v>720.67</v>
      </c>
      <c r="D11" s="33">
        <f>C11*(1+H3)</f>
        <v>792.73699999999997</v>
      </c>
      <c r="E11" s="33">
        <f>D11*(1+$I$3)</f>
        <v>872.01070000000004</v>
      </c>
      <c r="F11" s="33">
        <f>E11*(1+$J$3)</f>
        <v>959.21177000000012</v>
      </c>
      <c r="G11" s="33">
        <f>F11*(1+$K$3)</f>
        <v>1035.9487116000003</v>
      </c>
      <c r="H11" s="33">
        <f>G11*(1+$L$3)</f>
        <v>1118.8246085280005</v>
      </c>
      <c r="I11" s="33">
        <f>H11*(1+$C$8)</f>
        <v>1185.9540850396806</v>
      </c>
      <c r="J11" s="33">
        <f>I11*(1+$C$8)</f>
        <v>1257.1113301420617</v>
      </c>
      <c r="K11" s="33">
        <f>J11*(1+$C$8)</f>
        <v>1332.5380099505853</v>
      </c>
      <c r="L11" s="33">
        <f>K11*(1+$C$8)</f>
        <v>1412.4902905476206</v>
      </c>
      <c r="M11" s="33">
        <f>L11*(1+$C$8)</f>
        <v>1497.239707980478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20462.276009066529</v>
      </c>
    </row>
    <row r="13" spans="1:13" ht="20" thickBot="1">
      <c r="A13" s="2"/>
      <c r="B13" s="35" t="s">
        <v>15</v>
      </c>
      <c r="C13" s="34"/>
      <c r="D13" s="33">
        <f t="shared" ref="D13:L13" si="0">D11</f>
        <v>792.73699999999997</v>
      </c>
      <c r="E13" s="33">
        <f t="shared" si="0"/>
        <v>872.01070000000004</v>
      </c>
      <c r="F13" s="33">
        <f t="shared" si="0"/>
        <v>959.21177000000012</v>
      </c>
      <c r="G13" s="33">
        <f t="shared" si="0"/>
        <v>1035.9487116000003</v>
      </c>
      <c r="H13" s="33">
        <f t="shared" si="0"/>
        <v>1118.8246085280005</v>
      </c>
      <c r="I13" s="33">
        <f t="shared" si="0"/>
        <v>1185.9540850396806</v>
      </c>
      <c r="J13" s="33">
        <f t="shared" si="0"/>
        <v>1257.1113301420617</v>
      </c>
      <c r="K13" s="33">
        <f t="shared" si="0"/>
        <v>1332.5380099505853</v>
      </c>
      <c r="L13" s="33">
        <f t="shared" si="0"/>
        <v>1412.4902905476206</v>
      </c>
      <c r="M13" s="60">
        <f>M11+M12</f>
        <v>21959.515717047008</v>
      </c>
    </row>
    <row r="14" spans="1:13" ht="15" thickBot="1">
      <c r="A14" s="2"/>
      <c r="B14" s="36" t="s">
        <v>35</v>
      </c>
      <c r="C14" s="37">
        <f>C11/J5</f>
        <v>0.15501613250161325</v>
      </c>
      <c r="D14" s="37">
        <f>C14*(1+$H$3)/(1+$H$4)</f>
        <v>0.13116749673213429</v>
      </c>
      <c r="E14" s="37">
        <f>D14*(1+$I$3)/(1+$I$4)</f>
        <v>0.11098788185026748</v>
      </c>
      <c r="F14" s="37">
        <f>E14*(1+$J$3)/(1+$J$4)</f>
        <v>0.10173889169607853</v>
      </c>
      <c r="G14" s="37">
        <f>F14*(1+$K$3)/(1+$K$4)</f>
        <v>9.1565002526470679E-2</v>
      </c>
      <c r="H14" s="37">
        <f>G14*(1+$L$3)/(1+$L$4)</f>
        <v>8.2408502273823625E-2</v>
      </c>
      <c r="I14" s="61">
        <f>H14*(1+$C$8)/(1+$J$8)</f>
        <v>7.9411829463866407E-2</v>
      </c>
      <c r="J14" s="61">
        <f>I14*(1+$C$8)/(1+$J$8)</f>
        <v>7.6524126574271253E-2</v>
      </c>
      <c r="K14" s="61">
        <f>J14*(1+$C$8)/(1+$J$8)</f>
        <v>7.3741431062479559E-2</v>
      </c>
      <c r="L14" s="61">
        <f>K14*(1+$C$8)/(1+$J$8)</f>
        <v>7.105992447838938E-2</v>
      </c>
      <c r="M14" s="61">
        <f>L14*(1+$C$8)/(1+$J$8)</f>
        <v>6.8475927224629765E-2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23" t="s">
        <v>16</v>
      </c>
      <c r="C16" s="224"/>
      <c r="D16" s="40"/>
      <c r="E16" s="225" t="s">
        <v>80</v>
      </c>
      <c r="F16" s="226">
        <f>C22</f>
        <v>111.75067377960707</v>
      </c>
      <c r="G16" s="22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14565.832521194379</v>
      </c>
      <c r="D17" s="40"/>
      <c r="E17" s="226"/>
      <c r="F17" s="226"/>
      <c r="G17" s="22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4807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710.47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24">
        <f>C17+C18-C19</f>
        <v>18662.36252119438</v>
      </c>
      <c r="D20" s="47"/>
      <c r="E20" s="227" t="s">
        <v>22</v>
      </c>
      <c r="F20" s="228">
        <f>C23</f>
        <v>62.11</v>
      </c>
      <c r="G20" s="22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167</v>
      </c>
      <c r="D21" s="47"/>
      <c r="E21" s="227"/>
      <c r="F21" s="228"/>
      <c r="G21" s="22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111.75067377960707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62.11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0.79923802575442071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19" t="s">
        <v>36</v>
      </c>
    </row>
    <row r="30" spans="1:13">
      <c r="B30" s="221"/>
    </row>
    <row r="31" spans="1:13">
      <c r="B31" s="221"/>
    </row>
    <row r="32" spans="1:13">
      <c r="B32" s="221"/>
    </row>
  </sheetData>
  <phoneticPr fontId="23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B762A-F88F-B943-983E-02A1BB454B01}">
  <dimension ref="A1:M32"/>
  <sheetViews>
    <sheetView zoomScale="163" workbookViewId="0">
      <selection activeCell="R38" sqref="A1:XFD1048576"/>
    </sheetView>
  </sheetViews>
  <sheetFormatPr baseColWidth="10" defaultColWidth="9" defaultRowHeight="14"/>
  <cols>
    <col min="2" max="2" width="20.1640625" customWidth="1"/>
    <col min="3" max="3" width="16.33203125" style="230" customWidth="1"/>
    <col min="4" max="4" width="12.5" style="230" customWidth="1"/>
    <col min="5" max="5" width="9.33203125" style="230" bestFit="1" customWidth="1"/>
    <col min="6" max="6" width="20.6640625" style="230" bestFit="1" customWidth="1"/>
    <col min="7" max="7" width="21.83203125" style="230" customWidth="1"/>
    <col min="8" max="8" width="9.33203125" style="230" bestFit="1" customWidth="1"/>
    <col min="9" max="9" width="15.6640625" style="230" customWidth="1"/>
    <col min="10" max="12" width="9.33203125" style="230" bestFit="1" customWidth="1"/>
    <col min="13" max="13" width="13.5" style="23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129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0.08</v>
      </c>
      <c r="L3" s="12">
        <v>0.08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2851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32" t="s">
        <v>6</v>
      </c>
      <c r="F6" s="232"/>
      <c r="G6" s="23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0.03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33" t="s">
        <v>12</v>
      </c>
      <c r="C10" s="30">
        <v>2022</v>
      </c>
      <c r="D10" s="234">
        <v>2023</v>
      </c>
      <c r="E10" s="234">
        <v>2024</v>
      </c>
      <c r="F10" s="234">
        <v>2025</v>
      </c>
      <c r="G10" s="234">
        <v>2026</v>
      </c>
      <c r="H10" s="234">
        <v>2027</v>
      </c>
      <c r="I10" s="234">
        <v>2028</v>
      </c>
      <c r="J10" s="234">
        <v>2029</v>
      </c>
      <c r="K10" s="234">
        <v>2030</v>
      </c>
      <c r="L10" s="234">
        <v>2031</v>
      </c>
      <c r="M10" s="234">
        <v>2032</v>
      </c>
    </row>
    <row r="11" spans="1:13" ht="18" thickBot="1">
      <c r="A11" s="2"/>
      <c r="B11" s="7" t="s">
        <v>13</v>
      </c>
      <c r="C11" s="32">
        <v>40</v>
      </c>
      <c r="D11" s="33">
        <f>C11*(1+H3)</f>
        <v>44</v>
      </c>
      <c r="E11" s="33">
        <f>D11*(1+$I$3)</f>
        <v>48.400000000000006</v>
      </c>
      <c r="F11" s="33">
        <f>E11*(1+$J$3)</f>
        <v>53.240000000000009</v>
      </c>
      <c r="G11" s="33">
        <f>F11*(1+$K$3)</f>
        <v>57.499200000000016</v>
      </c>
      <c r="H11" s="33">
        <f>G11*(1+$L$3)</f>
        <v>62.099136000000023</v>
      </c>
      <c r="I11" s="33">
        <f>H11*(1+$C$8)</f>
        <v>63.962110080000024</v>
      </c>
      <c r="J11" s="33">
        <f>I11*(1+$C$8)</f>
        <v>65.880973382400029</v>
      </c>
      <c r="K11" s="33">
        <f>J11*(1+$C$8)</f>
        <v>67.85740258387203</v>
      </c>
      <c r="L11" s="33">
        <f>K11*(1+$C$8)</f>
        <v>69.8931246613882</v>
      </c>
      <c r="M11" s="33">
        <f>L11*(1+$C$8)</f>
        <v>71.989918401229843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983.86221815014096</v>
      </c>
    </row>
    <row r="13" spans="1:13" ht="20" thickBot="1">
      <c r="A13" s="2"/>
      <c r="B13" s="35" t="s">
        <v>15</v>
      </c>
      <c r="C13" s="34"/>
      <c r="D13" s="33">
        <f t="shared" ref="D13:L13" si="0">D11</f>
        <v>44</v>
      </c>
      <c r="E13" s="33">
        <f t="shared" si="0"/>
        <v>48.400000000000006</v>
      </c>
      <c r="F13" s="33">
        <f t="shared" si="0"/>
        <v>53.240000000000009</v>
      </c>
      <c r="G13" s="33">
        <f t="shared" si="0"/>
        <v>57.499200000000016</v>
      </c>
      <c r="H13" s="33">
        <f t="shared" si="0"/>
        <v>62.099136000000023</v>
      </c>
      <c r="I13" s="33">
        <f t="shared" si="0"/>
        <v>63.962110080000024</v>
      </c>
      <c r="J13" s="33">
        <f t="shared" si="0"/>
        <v>65.880973382400029</v>
      </c>
      <c r="K13" s="33">
        <f t="shared" si="0"/>
        <v>67.85740258387203</v>
      </c>
      <c r="L13" s="33">
        <f t="shared" si="0"/>
        <v>69.8931246613882</v>
      </c>
      <c r="M13" s="60">
        <f>M11+M12</f>
        <v>1055.8521365513709</v>
      </c>
    </row>
    <row r="14" spans="1:13" ht="15" thickBot="1">
      <c r="A14" s="2"/>
      <c r="B14" s="36" t="s">
        <v>35</v>
      </c>
      <c r="C14" s="37">
        <f>C11/J5</f>
        <v>1.403016485443704E-2</v>
      </c>
      <c r="D14" s="37">
        <f>C14*(1+$H$3)/(1+$H$4)</f>
        <v>1.187167795375442E-2</v>
      </c>
      <c r="E14" s="37">
        <f>D14*(1+$I$3)/(1+$I$4)</f>
        <v>1.0045265960869125E-2</v>
      </c>
      <c r="F14" s="37">
        <f>E14*(1+$J$3)/(1+$J$4)</f>
        <v>9.2081604641300312E-3</v>
      </c>
      <c r="G14" s="37">
        <f>F14*(1+$K$3)/(1+$K$4)</f>
        <v>8.2873444177170279E-3</v>
      </c>
      <c r="H14" s="37">
        <f>G14*(1+$L$3)/(1+$L$4)</f>
        <v>7.458609975945326E-3</v>
      </c>
      <c r="I14" s="61">
        <f>H14*(1+$C$8)/(1+$J$8)</f>
        <v>6.9839711592942595E-3</v>
      </c>
      <c r="J14" s="61">
        <f>I14*(1+$C$8)/(1+$J$8)</f>
        <v>6.5395366309755334E-3</v>
      </c>
      <c r="K14" s="61">
        <f>J14*(1+$C$8)/(1+$J$8)</f>
        <v>6.1233842999134534E-3</v>
      </c>
      <c r="L14" s="61">
        <f>K14*(1+$C$8)/(1+$J$8)</f>
        <v>5.7337143899189608E-3</v>
      </c>
      <c r="M14" s="61">
        <f>L14*(1+$C$8)/(1+$J$8)</f>
        <v>5.3688416560150262E-3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33" t="s">
        <v>16</v>
      </c>
      <c r="C16" s="234"/>
      <c r="D16" s="40"/>
      <c r="E16" s="235" t="s">
        <v>80</v>
      </c>
      <c r="F16" s="236">
        <f>C22</f>
        <v>21.152505033318313</v>
      </c>
      <c r="G16" s="23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736.11789763214676</v>
      </c>
      <c r="D17" s="40"/>
      <c r="E17" s="236"/>
      <c r="F17" s="236"/>
      <c r="G17" s="23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1135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200.07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34">
        <f>C17+C18-C19</f>
        <v>1671.0478976321467</v>
      </c>
      <c r="D20" s="47"/>
      <c r="E20" s="237" t="s">
        <v>22</v>
      </c>
      <c r="F20" s="238">
        <f>C23</f>
        <v>17.989999999999998</v>
      </c>
      <c r="G20" s="23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79</v>
      </c>
      <c r="D21" s="47"/>
      <c r="E21" s="237"/>
      <c r="F21" s="238"/>
      <c r="G21" s="23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21.152505033318313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17.989999999999998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0.17579238651018983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29" t="s">
        <v>36</v>
      </c>
    </row>
    <row r="30" spans="1:13">
      <c r="B30" s="231"/>
    </row>
    <row r="31" spans="1:13">
      <c r="B31" s="231"/>
    </row>
    <row r="32" spans="1:13">
      <c r="B32" s="231"/>
    </row>
  </sheetData>
  <phoneticPr fontId="23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5F03F-025F-564B-BEFB-1934546C9F34}">
  <dimension ref="A1:M32"/>
  <sheetViews>
    <sheetView zoomScale="184" workbookViewId="0">
      <selection activeCell="R34" sqref="A1:XFD1048576"/>
    </sheetView>
  </sheetViews>
  <sheetFormatPr baseColWidth="10" defaultColWidth="9" defaultRowHeight="14"/>
  <cols>
    <col min="2" max="2" width="20.1640625" customWidth="1"/>
    <col min="3" max="3" width="16.33203125" style="230" customWidth="1"/>
    <col min="4" max="4" width="12.5" style="230" customWidth="1"/>
    <col min="5" max="5" width="9.33203125" style="230" bestFit="1" customWidth="1"/>
    <col min="6" max="6" width="20.6640625" style="230" bestFit="1" customWidth="1"/>
    <col min="7" max="7" width="21.83203125" style="230" customWidth="1"/>
    <col min="8" max="8" width="9.33203125" style="230" bestFit="1" customWidth="1"/>
    <col min="9" max="9" width="15.6640625" style="230" customWidth="1"/>
    <col min="10" max="12" width="9.33203125" style="230" bestFit="1" customWidth="1"/>
    <col min="13" max="13" width="13.5" style="23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130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0.08</v>
      </c>
      <c r="L3" s="12">
        <v>0.08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63524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32" t="s">
        <v>6</v>
      </c>
      <c r="F6" s="232"/>
      <c r="G6" s="23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0.03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33" t="s">
        <v>12</v>
      </c>
      <c r="C10" s="30">
        <v>2022</v>
      </c>
      <c r="D10" s="234">
        <v>2023</v>
      </c>
      <c r="E10" s="234">
        <v>2024</v>
      </c>
      <c r="F10" s="234">
        <v>2025</v>
      </c>
      <c r="G10" s="234">
        <v>2026</v>
      </c>
      <c r="H10" s="234">
        <v>2027</v>
      </c>
      <c r="I10" s="234">
        <v>2028</v>
      </c>
      <c r="J10" s="234">
        <v>2029</v>
      </c>
      <c r="K10" s="234">
        <v>2030</v>
      </c>
      <c r="L10" s="234">
        <v>2031</v>
      </c>
      <c r="M10" s="234">
        <v>2032</v>
      </c>
    </row>
    <row r="11" spans="1:13" ht="18" thickBot="1">
      <c r="A11" s="2"/>
      <c r="B11" s="7" t="s">
        <v>13</v>
      </c>
      <c r="C11" s="32">
        <v>1954</v>
      </c>
      <c r="D11" s="33">
        <f>C11*(1+H3)</f>
        <v>2149.4</v>
      </c>
      <c r="E11" s="33">
        <f>D11*(1+$I$3)</f>
        <v>2364.34</v>
      </c>
      <c r="F11" s="33">
        <f>E11*(1+$J$3)</f>
        <v>2600.7740000000003</v>
      </c>
      <c r="G11" s="33">
        <f>F11*(1+$K$3)</f>
        <v>2808.8359200000004</v>
      </c>
      <c r="H11" s="33">
        <f>G11*(1+$L$3)</f>
        <v>3033.5427936000006</v>
      </c>
      <c r="I11" s="33">
        <f>H11*(1+$C$8)</f>
        <v>3124.5490774080008</v>
      </c>
      <c r="J11" s="33">
        <f>I11*(1+$C$8)</f>
        <v>3218.2855497302407</v>
      </c>
      <c r="K11" s="33">
        <f>J11*(1+$C$8)</f>
        <v>3314.8341162221482</v>
      </c>
      <c r="L11" s="33">
        <f>K11*(1+$C$8)</f>
        <v>3414.2791397088126</v>
      </c>
      <c r="M11" s="33">
        <f>L11*(1+$C$8)</f>
        <v>3516.7075139000772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48061.669356634382</v>
      </c>
    </row>
    <row r="13" spans="1:13" ht="20" thickBot="1">
      <c r="A13" s="2"/>
      <c r="B13" s="35" t="s">
        <v>15</v>
      </c>
      <c r="C13" s="34"/>
      <c r="D13" s="33">
        <f t="shared" ref="D13:L13" si="0">D11</f>
        <v>2149.4</v>
      </c>
      <c r="E13" s="33">
        <f t="shared" si="0"/>
        <v>2364.34</v>
      </c>
      <c r="F13" s="33">
        <f t="shared" si="0"/>
        <v>2600.7740000000003</v>
      </c>
      <c r="G13" s="33">
        <f t="shared" si="0"/>
        <v>2808.8359200000004</v>
      </c>
      <c r="H13" s="33">
        <f t="shared" si="0"/>
        <v>3033.5427936000006</v>
      </c>
      <c r="I13" s="33">
        <f t="shared" si="0"/>
        <v>3124.5490774080008</v>
      </c>
      <c r="J13" s="33">
        <f t="shared" si="0"/>
        <v>3218.2855497302407</v>
      </c>
      <c r="K13" s="33">
        <f t="shared" si="0"/>
        <v>3314.8341162221482</v>
      </c>
      <c r="L13" s="33">
        <f t="shared" si="0"/>
        <v>3414.2791397088126</v>
      </c>
      <c r="M13" s="60">
        <f>M11+M12</f>
        <v>51578.376870534456</v>
      </c>
    </row>
    <row r="14" spans="1:13" ht="15" thickBot="1">
      <c r="A14" s="2"/>
      <c r="B14" s="36" t="s">
        <v>35</v>
      </c>
      <c r="C14" s="37">
        <f>C11/J5</f>
        <v>3.0760027706063849E-2</v>
      </c>
      <c r="D14" s="37">
        <f>C14*(1+$H$3)/(1+$H$4)</f>
        <v>2.6027715751284795E-2</v>
      </c>
      <c r="E14" s="37">
        <f>D14*(1+$I$3)/(1+$I$4)</f>
        <v>2.2023451789548676E-2</v>
      </c>
      <c r="F14" s="37">
        <f>E14*(1+$J$3)/(1+$J$4)</f>
        <v>2.0188164140419622E-2</v>
      </c>
      <c r="G14" s="37">
        <f>F14*(1+$K$3)/(1+$K$4)</f>
        <v>1.8169347726377662E-2</v>
      </c>
      <c r="H14" s="37">
        <f>G14*(1+$L$3)/(1+$L$4)</f>
        <v>1.6352412953739896E-2</v>
      </c>
      <c r="I14" s="61">
        <f>H14*(1+$C$8)/(1+$J$8)</f>
        <v>1.5311804856683719E-2</v>
      </c>
      <c r="J14" s="61">
        <f>I14*(1+$C$8)/(1+$J$8)</f>
        <v>1.4337417274894754E-2</v>
      </c>
      <c r="K14" s="61">
        <f>J14*(1+$C$8)/(1+$J$8)</f>
        <v>1.342503617558327E-2</v>
      </c>
      <c r="L14" s="61">
        <f>K14*(1+$C$8)/(1+$J$8)</f>
        <v>1.2570715691682515E-2</v>
      </c>
      <c r="M14" s="61">
        <f>L14*(1+$C$8)/(1+$J$8)</f>
        <v>1.1770761056757263E-2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33" t="s">
        <v>16</v>
      </c>
      <c r="C16" s="234"/>
      <c r="D16" s="40"/>
      <c r="E16" s="235" t="s">
        <v>80</v>
      </c>
      <c r="F16" s="236">
        <f>C22</f>
        <v>20.602929030205669</v>
      </c>
      <c r="G16" s="23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35959.359299330361</v>
      </c>
      <c r="D17" s="40"/>
      <c r="E17" s="236"/>
      <c r="F17" s="236"/>
      <c r="G17" s="23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36269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33124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34">
        <f>C17+C18-C19</f>
        <v>39104.359299330361</v>
      </c>
      <c r="D20" s="47"/>
      <c r="E20" s="237" t="s">
        <v>22</v>
      </c>
      <c r="F20" s="238">
        <f>C23</f>
        <v>40.68</v>
      </c>
      <c r="G20" s="23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1898</v>
      </c>
      <c r="D21" s="47"/>
      <c r="E21" s="237"/>
      <c r="F21" s="238"/>
      <c r="G21" s="23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20.602929030205669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40.68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-0.49353665117488521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29" t="s">
        <v>36</v>
      </c>
    </row>
    <row r="30" spans="1:13">
      <c r="B30" s="231"/>
    </row>
    <row r="31" spans="1:13">
      <c r="B31" s="231"/>
    </row>
    <row r="32" spans="1:13">
      <c r="B32" s="231"/>
    </row>
  </sheetData>
  <phoneticPr fontId="23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B0824-0913-8D4D-A1BA-AFB51FF71F10}">
  <dimension ref="A1:M32"/>
  <sheetViews>
    <sheetView topLeftCell="C1" zoomScale="125" workbookViewId="0">
      <selection activeCell="O18" sqref="A1:XFD1048576"/>
    </sheetView>
  </sheetViews>
  <sheetFormatPr baseColWidth="10" defaultColWidth="9" defaultRowHeight="14"/>
  <cols>
    <col min="2" max="2" width="20.1640625" customWidth="1"/>
    <col min="3" max="3" width="16.33203125" style="230" customWidth="1"/>
    <col min="4" max="4" width="12.5" style="230" customWidth="1"/>
    <col min="5" max="5" width="9.33203125" style="230" bestFit="1" customWidth="1"/>
    <col min="6" max="6" width="20.6640625" style="230" bestFit="1" customWidth="1"/>
    <col min="7" max="7" width="21.83203125" style="230" customWidth="1"/>
    <col min="8" max="8" width="9.33203125" style="230" bestFit="1" customWidth="1"/>
    <col min="9" max="9" width="15.6640625" style="230" customWidth="1"/>
    <col min="10" max="12" width="9.33203125" style="230" bestFit="1" customWidth="1"/>
    <col min="13" max="13" width="13.5" style="23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131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0.08</v>
      </c>
      <c r="L3" s="12">
        <v>0.08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133724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32" t="s">
        <v>6</v>
      </c>
      <c r="F6" s="232"/>
      <c r="G6" s="23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33" t="s">
        <v>12</v>
      </c>
      <c r="C10" s="30">
        <v>2022</v>
      </c>
      <c r="D10" s="234">
        <v>2023</v>
      </c>
      <c r="E10" s="234">
        <v>2024</v>
      </c>
      <c r="F10" s="234">
        <v>2025</v>
      </c>
      <c r="G10" s="234">
        <v>2026</v>
      </c>
      <c r="H10" s="234">
        <v>2027</v>
      </c>
      <c r="I10" s="234">
        <v>2028</v>
      </c>
      <c r="J10" s="234">
        <v>2029</v>
      </c>
      <c r="K10" s="234">
        <v>2030</v>
      </c>
      <c r="L10" s="234">
        <v>2031</v>
      </c>
      <c r="M10" s="234">
        <v>2032</v>
      </c>
    </row>
    <row r="11" spans="1:13" ht="18" thickBot="1">
      <c r="A11" s="2"/>
      <c r="B11" s="7" t="s">
        <v>13</v>
      </c>
      <c r="C11" s="32">
        <v>20955</v>
      </c>
      <c r="D11" s="33">
        <f>C11*(1+H3)</f>
        <v>23050.500000000004</v>
      </c>
      <c r="E11" s="33">
        <f>D11*(1+$I$3)</f>
        <v>25355.550000000007</v>
      </c>
      <c r="F11" s="33">
        <f>E11*(1+$J$3)</f>
        <v>27891.10500000001</v>
      </c>
      <c r="G11" s="33">
        <f>F11*(1+$K$3)</f>
        <v>30122.393400000012</v>
      </c>
      <c r="H11" s="33">
        <f>G11*(1+$L$3)</f>
        <v>32532.184872000016</v>
      </c>
      <c r="I11" s="33">
        <f>H11*(1+$C$8)</f>
        <v>34158.794115600016</v>
      </c>
      <c r="J11" s="33">
        <f>I11*(1+$C$8)</f>
        <v>35866.733821380018</v>
      </c>
      <c r="K11" s="33">
        <f>J11*(1+$C$8)</f>
        <v>37660.07051244902</v>
      </c>
      <c r="L11" s="33">
        <f>K11*(1+$C$8)</f>
        <v>39543.074038071471</v>
      </c>
      <c r="M11" s="33">
        <f>L11*(1+$C$8)</f>
        <v>41520.227739975046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567443.11244632548</v>
      </c>
    </row>
    <row r="13" spans="1:13" ht="20" thickBot="1">
      <c r="A13" s="2"/>
      <c r="B13" s="35" t="s">
        <v>15</v>
      </c>
      <c r="C13" s="34"/>
      <c r="D13" s="33">
        <f t="shared" ref="D13:L13" si="0">D11</f>
        <v>23050.500000000004</v>
      </c>
      <c r="E13" s="33">
        <f t="shared" si="0"/>
        <v>25355.550000000007</v>
      </c>
      <c r="F13" s="33">
        <f t="shared" si="0"/>
        <v>27891.10500000001</v>
      </c>
      <c r="G13" s="33">
        <f t="shared" si="0"/>
        <v>30122.393400000012</v>
      </c>
      <c r="H13" s="33">
        <f t="shared" si="0"/>
        <v>32532.184872000016</v>
      </c>
      <c r="I13" s="33">
        <f t="shared" si="0"/>
        <v>34158.794115600016</v>
      </c>
      <c r="J13" s="33">
        <f t="shared" si="0"/>
        <v>35866.733821380018</v>
      </c>
      <c r="K13" s="33">
        <f t="shared" si="0"/>
        <v>37660.07051244902</v>
      </c>
      <c r="L13" s="33">
        <f t="shared" si="0"/>
        <v>39543.074038071471</v>
      </c>
      <c r="M13" s="60">
        <f>M11+M12</f>
        <v>608963.34018630057</v>
      </c>
    </row>
    <row r="14" spans="1:13" ht="15" thickBot="1">
      <c r="A14" s="2"/>
      <c r="B14" s="36" t="s">
        <v>35</v>
      </c>
      <c r="C14" s="37">
        <f>C11/J5</f>
        <v>0.15670335915766803</v>
      </c>
      <c r="D14" s="37">
        <f>C14*(1+$H$3)/(1+$H$4)</f>
        <v>0.13259515005648836</v>
      </c>
      <c r="E14" s="37">
        <f>D14*(1+$I$3)/(1+$I$4)</f>
        <v>0.112195896201644</v>
      </c>
      <c r="F14" s="37">
        <f>E14*(1+$J$3)/(1+$J$4)</f>
        <v>0.10284623818484034</v>
      </c>
      <c r="G14" s="37">
        <f>F14*(1+$K$3)/(1+$K$4)</f>
        <v>9.2561614366356321E-2</v>
      </c>
      <c r="H14" s="37">
        <f>G14*(1+$L$3)/(1+$L$4)</f>
        <v>8.3305452929720705E-2</v>
      </c>
      <c r="I14" s="61">
        <f>H14*(1+$C$8)/(1+$J$8)</f>
        <v>7.9518841432915224E-2</v>
      </c>
      <c r="J14" s="61">
        <f>I14*(1+$C$8)/(1+$J$8)</f>
        <v>7.5904348640509989E-2</v>
      </c>
      <c r="K14" s="61">
        <f>J14*(1+$C$8)/(1+$J$8)</f>
        <v>7.2454150975032258E-2</v>
      </c>
      <c r="L14" s="61">
        <f>K14*(1+$C$8)/(1+$J$8)</f>
        <v>6.9160780476167152E-2</v>
      </c>
      <c r="M14" s="61">
        <f>L14*(1+$C$8)/(1+$J$8)</f>
        <v>6.601710863634136E-2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33" t="s">
        <v>16</v>
      </c>
      <c r="C16" s="234"/>
      <c r="D16" s="40"/>
      <c r="E16" s="235" t="s">
        <v>80</v>
      </c>
      <c r="F16" s="236">
        <f>C22</f>
        <v>463.05694763997104</v>
      </c>
      <c r="G16" s="23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410446.53534128924</v>
      </c>
      <c r="D17" s="40"/>
      <c r="E17" s="236"/>
      <c r="F17" s="236"/>
      <c r="G17" s="23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97247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15464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34">
        <f>C17+C18-C19</f>
        <v>492229.53534128924</v>
      </c>
      <c r="D20" s="47"/>
      <c r="E20" s="237" t="s">
        <v>22</v>
      </c>
      <c r="F20" s="238">
        <f>C23</f>
        <v>201.63</v>
      </c>
      <c r="G20" s="23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1063</v>
      </c>
      <c r="D21" s="47"/>
      <c r="E21" s="237"/>
      <c r="F21" s="238"/>
      <c r="G21" s="23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463.05694763997104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201.63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1.2965677113523337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29" t="s">
        <v>36</v>
      </c>
    </row>
    <row r="30" spans="1:13">
      <c r="B30" s="231"/>
    </row>
    <row r="31" spans="1:13">
      <c r="B31" s="231"/>
    </row>
    <row r="32" spans="1:13">
      <c r="B32" s="231"/>
    </row>
  </sheetData>
  <phoneticPr fontId="23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C5F88-86B8-2A41-8D15-B7357CC49B4F}">
  <dimension ref="A1:M32"/>
  <sheetViews>
    <sheetView zoomScale="143" workbookViewId="0">
      <selection activeCell="D4" sqref="D4"/>
    </sheetView>
  </sheetViews>
  <sheetFormatPr baseColWidth="10" defaultColWidth="9" defaultRowHeight="14"/>
  <cols>
    <col min="2" max="2" width="20.1640625" customWidth="1"/>
    <col min="3" max="3" width="16.33203125" style="230" customWidth="1"/>
    <col min="4" max="4" width="12.5" style="230" customWidth="1"/>
    <col min="5" max="5" width="9.33203125" style="230" bestFit="1" customWidth="1"/>
    <col min="6" max="6" width="20.6640625" style="230" bestFit="1" customWidth="1"/>
    <col min="7" max="7" width="21.83203125" style="230" customWidth="1"/>
    <col min="8" max="8" width="9.33203125" style="230" bestFit="1" customWidth="1"/>
    <col min="9" max="9" width="15.6640625" style="230" customWidth="1"/>
    <col min="10" max="12" width="9.33203125" style="230" bestFit="1" customWidth="1"/>
    <col min="13" max="13" width="13.5" style="23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132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0.8</v>
      </c>
      <c r="I3" s="12">
        <v>0.4</v>
      </c>
      <c r="J3" s="12">
        <v>0.3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1300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32" t="s">
        <v>6</v>
      </c>
      <c r="F6" s="232"/>
      <c r="G6" s="23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33" t="s">
        <v>12</v>
      </c>
      <c r="C10" s="30">
        <v>2022</v>
      </c>
      <c r="D10" s="234">
        <v>2023</v>
      </c>
      <c r="E10" s="234">
        <v>2024</v>
      </c>
      <c r="F10" s="234">
        <v>2025</v>
      </c>
      <c r="G10" s="234">
        <v>2026</v>
      </c>
      <c r="H10" s="234">
        <v>2027</v>
      </c>
      <c r="I10" s="234">
        <v>2028</v>
      </c>
      <c r="J10" s="234">
        <v>2029</v>
      </c>
      <c r="K10" s="234">
        <v>2030</v>
      </c>
      <c r="L10" s="234">
        <v>2031</v>
      </c>
      <c r="M10" s="234">
        <v>2032</v>
      </c>
    </row>
    <row r="11" spans="1:13" ht="18" thickBot="1">
      <c r="A11" s="2"/>
      <c r="B11" s="7" t="s">
        <v>13</v>
      </c>
      <c r="C11" s="32">
        <v>360</v>
      </c>
      <c r="D11" s="33">
        <f>C11*(1+H3)</f>
        <v>648</v>
      </c>
      <c r="E11" s="33">
        <f>D11*(1+$I$3)</f>
        <v>907.19999999999993</v>
      </c>
      <c r="F11" s="33">
        <f>E11*(1+$J$3)</f>
        <v>1179.3599999999999</v>
      </c>
      <c r="G11" s="33">
        <f>F11*(1+$K$3)</f>
        <v>1415.2319999999997</v>
      </c>
      <c r="H11" s="33">
        <f>G11*(1+$L$3)</f>
        <v>1698.2783999999997</v>
      </c>
      <c r="I11" s="33">
        <f>H11*(1+$C$8)</f>
        <v>1868.1062399999998</v>
      </c>
      <c r="J11" s="33">
        <f>I11*(1+$C$8)</f>
        <v>2054.9168639999998</v>
      </c>
      <c r="K11" s="33">
        <f>J11*(1+$C$8)</f>
        <v>2260.4085504</v>
      </c>
      <c r="L11" s="33">
        <f>K11*(1+$C$8)</f>
        <v>2486.4494054400002</v>
      </c>
      <c r="M11" s="33">
        <f>L11*(1+$C$8)</f>
        <v>2735.0943459840005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37379.622728447997</v>
      </c>
    </row>
    <row r="13" spans="1:13" ht="20" thickBot="1">
      <c r="A13" s="2"/>
      <c r="B13" s="35" t="s">
        <v>15</v>
      </c>
      <c r="C13" s="34"/>
      <c r="D13" s="33">
        <f t="shared" ref="D13:L13" si="0">D11</f>
        <v>648</v>
      </c>
      <c r="E13" s="33">
        <f t="shared" si="0"/>
        <v>907.19999999999993</v>
      </c>
      <c r="F13" s="33">
        <f t="shared" si="0"/>
        <v>1179.3599999999999</v>
      </c>
      <c r="G13" s="33">
        <f t="shared" si="0"/>
        <v>1415.2319999999997</v>
      </c>
      <c r="H13" s="33">
        <f t="shared" si="0"/>
        <v>1698.2783999999997</v>
      </c>
      <c r="I13" s="33">
        <f t="shared" si="0"/>
        <v>1868.1062399999998</v>
      </c>
      <c r="J13" s="33">
        <f t="shared" si="0"/>
        <v>2054.9168639999998</v>
      </c>
      <c r="K13" s="33">
        <f t="shared" si="0"/>
        <v>2260.4085504</v>
      </c>
      <c r="L13" s="33">
        <f t="shared" si="0"/>
        <v>2486.4494054400002</v>
      </c>
      <c r="M13" s="60">
        <f>M11+M12</f>
        <v>40114.717074431996</v>
      </c>
    </row>
    <row r="14" spans="1:13" ht="15" thickBot="1">
      <c r="A14" s="2"/>
      <c r="B14" s="36" t="s">
        <v>35</v>
      </c>
      <c r="C14" s="37">
        <f>C11/J5</f>
        <v>0.27692307692307694</v>
      </c>
      <c r="D14" s="37">
        <f>C14*(1+$H$3)/(1+$H$4)</f>
        <v>0.3834319526627219</v>
      </c>
      <c r="E14" s="37">
        <f>D14*(1+$I$3)/(1+$I$4)</f>
        <v>0.41292671825216198</v>
      </c>
      <c r="F14" s="37">
        <f>E14*(1+$J$3)/(1+$J$4)</f>
        <v>0.44733727810650881</v>
      </c>
      <c r="G14" s="37">
        <f>F14*(1+$K$3)/(1+$K$4)</f>
        <v>0.44733727810650881</v>
      </c>
      <c r="H14" s="37">
        <f>G14*(1+$L$3)/(1+$L$4)</f>
        <v>0.44733727810650881</v>
      </c>
      <c r="I14" s="61">
        <f>H14*(1+$C$8)/(1+$J$8)</f>
        <v>0.44733727810650881</v>
      </c>
      <c r="J14" s="61">
        <f>I14*(1+$C$8)/(1+$J$8)</f>
        <v>0.44733727810650881</v>
      </c>
      <c r="K14" s="61">
        <f>J14*(1+$C$8)/(1+$J$8)</f>
        <v>0.44733727810650881</v>
      </c>
      <c r="L14" s="61">
        <f>K14*(1+$C$8)/(1+$J$8)</f>
        <v>0.44733727810650881</v>
      </c>
      <c r="M14" s="61">
        <f>L14*(1+$C$8)/(1+$J$8)</f>
        <v>0.44733727810650881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33" t="s">
        <v>16</v>
      </c>
      <c r="C16" s="234"/>
      <c r="D16" s="40"/>
      <c r="E16" s="235" t="s">
        <v>80</v>
      </c>
      <c r="F16" s="236">
        <f>C22</f>
        <v>177.54491329604508</v>
      </c>
      <c r="G16" s="23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23929.982427926538</v>
      </c>
      <c r="D17" s="40"/>
      <c r="E17" s="236"/>
      <c r="F17" s="236"/>
      <c r="G17" s="23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1841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26.97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34">
        <f>C17+C18-C19</f>
        <v>25744.012427926536</v>
      </c>
      <c r="D20" s="47"/>
      <c r="E20" s="237" t="s">
        <v>22</v>
      </c>
      <c r="F20" s="238">
        <f>C23</f>
        <v>166.4</v>
      </c>
      <c r="G20" s="23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145</v>
      </c>
      <c r="D21" s="47"/>
      <c r="E21" s="237"/>
      <c r="F21" s="238"/>
      <c r="G21" s="23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177.54491329604508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166.4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6.6976642404117034E-2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29" t="s">
        <v>36</v>
      </c>
    </row>
    <row r="30" spans="1:13">
      <c r="B30" s="231"/>
    </row>
    <row r="31" spans="1:13">
      <c r="B31" s="231"/>
    </row>
    <row r="32" spans="1:13">
      <c r="B32" s="231"/>
    </row>
  </sheetData>
  <phoneticPr fontId="23" type="noConversion"/>
  <pageMargins left="0.7" right="0.7" top="0.75" bottom="0.75" header="0.3" footer="0.3"/>
  <pageSetup paperSize="9" orientation="portrait" horizontalDpi="0" verticalDpi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9EDFF-88A6-D446-B03C-D95BEA403571}">
  <dimension ref="A1:M32"/>
  <sheetViews>
    <sheetView zoomScale="125" workbookViewId="0">
      <selection activeCell="P30" sqref="P30"/>
    </sheetView>
  </sheetViews>
  <sheetFormatPr baseColWidth="10" defaultColWidth="9" defaultRowHeight="14"/>
  <cols>
    <col min="2" max="2" width="20.1640625" customWidth="1"/>
    <col min="3" max="3" width="16.33203125" style="240" customWidth="1"/>
    <col min="4" max="4" width="12.5" style="240" customWidth="1"/>
    <col min="5" max="5" width="9.33203125" style="240" bestFit="1" customWidth="1"/>
    <col min="6" max="6" width="20.6640625" style="240" bestFit="1" customWidth="1"/>
    <col min="7" max="7" width="21.83203125" style="240" customWidth="1"/>
    <col min="8" max="8" width="9.33203125" style="240" bestFit="1" customWidth="1"/>
    <col min="9" max="9" width="15.6640625" style="240" customWidth="1"/>
    <col min="10" max="12" width="9.33203125" style="240" bestFit="1" customWidth="1"/>
    <col min="13" max="13" width="13.5" style="24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134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0.4</v>
      </c>
      <c r="J3" s="12">
        <v>0.3</v>
      </c>
      <c r="K3" s="12">
        <v>0.3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2519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42" t="s">
        <v>6</v>
      </c>
      <c r="F6" s="242"/>
      <c r="G6" s="24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43" t="s">
        <v>12</v>
      </c>
      <c r="C10" s="30">
        <v>2022</v>
      </c>
      <c r="D10" s="244">
        <v>2023</v>
      </c>
      <c r="E10" s="244">
        <v>2024</v>
      </c>
      <c r="F10" s="244">
        <v>2025</v>
      </c>
      <c r="G10" s="244">
        <v>2026</v>
      </c>
      <c r="H10" s="244">
        <v>2027</v>
      </c>
      <c r="I10" s="244">
        <v>2028</v>
      </c>
      <c r="J10" s="244">
        <v>2029</v>
      </c>
      <c r="K10" s="244">
        <v>2030</v>
      </c>
      <c r="L10" s="244">
        <v>2031</v>
      </c>
      <c r="M10" s="244">
        <v>2032</v>
      </c>
    </row>
    <row r="11" spans="1:13" ht="18" thickBot="1">
      <c r="A11" s="2"/>
      <c r="B11" s="7" t="s">
        <v>13</v>
      </c>
      <c r="C11" s="32">
        <v>300</v>
      </c>
      <c r="D11" s="33">
        <f>C11*(1+H3)</f>
        <v>450</v>
      </c>
      <c r="E11" s="33">
        <f>D11*(1+$I$3)</f>
        <v>630</v>
      </c>
      <c r="F11" s="33">
        <f>E11*(1+$J$3)</f>
        <v>819</v>
      </c>
      <c r="G11" s="33">
        <f>F11*(1+$K$3)</f>
        <v>1064.7</v>
      </c>
      <c r="H11" s="33">
        <f>G11*(1+$L$3)</f>
        <v>1277.6400000000001</v>
      </c>
      <c r="I11" s="33">
        <f>H11*(1+$C$8)</f>
        <v>1405.4040000000002</v>
      </c>
      <c r="J11" s="33">
        <f>I11*(1+$C$8)</f>
        <v>1545.9444000000003</v>
      </c>
      <c r="K11" s="33">
        <f>J11*(1+$C$8)</f>
        <v>1700.5388400000004</v>
      </c>
      <c r="L11" s="33">
        <f>K11*(1+$C$8)</f>
        <v>1870.5927240000005</v>
      </c>
      <c r="M11" s="33">
        <f>L11*(1+$C$8)</f>
        <v>2057.6519964000008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28121.243950800006</v>
      </c>
    </row>
    <row r="13" spans="1:13" ht="20" thickBot="1">
      <c r="A13" s="2"/>
      <c r="B13" s="35" t="s">
        <v>15</v>
      </c>
      <c r="C13" s="34"/>
      <c r="D13" s="33">
        <f t="shared" ref="D13:L13" si="0">D11</f>
        <v>450</v>
      </c>
      <c r="E13" s="33">
        <f t="shared" si="0"/>
        <v>630</v>
      </c>
      <c r="F13" s="33">
        <f t="shared" si="0"/>
        <v>819</v>
      </c>
      <c r="G13" s="33">
        <f t="shared" si="0"/>
        <v>1064.7</v>
      </c>
      <c r="H13" s="33">
        <f t="shared" si="0"/>
        <v>1277.6400000000001</v>
      </c>
      <c r="I13" s="33">
        <f t="shared" si="0"/>
        <v>1405.4040000000002</v>
      </c>
      <c r="J13" s="33">
        <f t="shared" si="0"/>
        <v>1545.9444000000003</v>
      </c>
      <c r="K13" s="33">
        <f t="shared" si="0"/>
        <v>1700.5388400000004</v>
      </c>
      <c r="L13" s="33">
        <f t="shared" si="0"/>
        <v>1870.5927240000005</v>
      </c>
      <c r="M13" s="60">
        <f>M11+M12</f>
        <v>30178.895947200006</v>
      </c>
    </row>
    <row r="14" spans="1:13" ht="15" thickBot="1">
      <c r="A14" s="2"/>
      <c r="B14" s="36" t="s">
        <v>35</v>
      </c>
      <c r="C14" s="37">
        <f>C11/J5</f>
        <v>0.11909487892020643</v>
      </c>
      <c r="D14" s="37">
        <f>C14*(1+$H$3)/(1+$H$4)</f>
        <v>0.13741716798485357</v>
      </c>
      <c r="E14" s="37">
        <f>D14*(1+$I$3)/(1+$I$4)</f>
        <v>0.14798771936830382</v>
      </c>
      <c r="F14" s="37">
        <f>E14*(1+$J$3)/(1+$J$4)</f>
        <v>0.1603200293156625</v>
      </c>
      <c r="G14" s="37">
        <f>F14*(1+$K$3)/(1+$K$4)</f>
        <v>0.17368003175863439</v>
      </c>
      <c r="H14" s="37">
        <f>G14*(1+$L$3)/(1+$L$4)</f>
        <v>0.17368003175863439</v>
      </c>
      <c r="I14" s="61">
        <f>H14*(1+$C$8)/(1+$J$8)</f>
        <v>0.17368003175863439</v>
      </c>
      <c r="J14" s="61">
        <f>I14*(1+$C$8)/(1+$J$8)</f>
        <v>0.17368003175863439</v>
      </c>
      <c r="K14" s="61">
        <f>J14*(1+$C$8)/(1+$J$8)</f>
        <v>0.17368003175863439</v>
      </c>
      <c r="L14" s="61">
        <f>K14*(1+$C$8)/(1+$J$8)</f>
        <v>0.17368003175863439</v>
      </c>
      <c r="M14" s="61">
        <f>L14*(1+$C$8)/(1+$J$8)</f>
        <v>0.17368003175863439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43" t="s">
        <v>16</v>
      </c>
      <c r="C16" s="244"/>
      <c r="D16" s="40"/>
      <c r="E16" s="245" t="s">
        <v>80</v>
      </c>
      <c r="F16" s="246">
        <f>C22</f>
        <v>16.140117833126496</v>
      </c>
      <c r="G16" s="24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17874.123724782821</v>
      </c>
      <c r="D17" s="40"/>
      <c r="E17" s="246"/>
      <c r="F17" s="246"/>
      <c r="G17" s="24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2355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3282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44">
        <f>C17+C18-C19</f>
        <v>16947.123724782821</v>
      </c>
      <c r="D20" s="47"/>
      <c r="E20" s="247" t="s">
        <v>22</v>
      </c>
      <c r="F20" s="248">
        <f>C23</f>
        <v>13.01</v>
      </c>
      <c r="G20" s="24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1050</v>
      </c>
      <c r="D21" s="47"/>
      <c r="E21" s="247"/>
      <c r="F21" s="248"/>
      <c r="G21" s="24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16.140117833126496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13.01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0.24059322314577219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39" t="s">
        <v>36</v>
      </c>
    </row>
    <row r="30" spans="1:13">
      <c r="B30" s="241"/>
    </row>
    <row r="31" spans="1:13">
      <c r="B31" s="241"/>
    </row>
    <row r="32" spans="1:13">
      <c r="B32" s="241"/>
    </row>
  </sheetData>
  <phoneticPr fontId="23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09E8-5049-3143-B32F-5DDD17326576}">
  <dimension ref="A1:J35"/>
  <sheetViews>
    <sheetView zoomScale="165" workbookViewId="0">
      <selection activeCell="M34" sqref="M34"/>
    </sheetView>
  </sheetViews>
  <sheetFormatPr baseColWidth="10" defaultColWidth="8.83203125" defaultRowHeight="14"/>
  <cols>
    <col min="1" max="1" width="41.33203125" style="385" customWidth="1"/>
    <col min="2" max="2" width="27" style="385" customWidth="1"/>
    <col min="3" max="3" width="33" style="388" customWidth="1"/>
    <col min="4" max="4" width="17.6640625" style="385" customWidth="1"/>
    <col min="5" max="5" width="21" style="385" customWidth="1"/>
    <col min="6" max="16384" width="8.83203125" style="385"/>
  </cols>
  <sheetData>
    <row r="1" spans="1:5" ht="15" thickBot="1">
      <c r="A1" s="386" t="s">
        <v>163</v>
      </c>
      <c r="B1" s="386" t="s">
        <v>164</v>
      </c>
      <c r="C1" s="387" t="s">
        <v>165</v>
      </c>
    </row>
    <row r="2" spans="1:5" ht="18" thickBot="1">
      <c r="A2" s="34" t="s">
        <v>191</v>
      </c>
      <c r="B2" s="193">
        <v>2025</v>
      </c>
      <c r="C2" s="102" t="s">
        <v>166</v>
      </c>
    </row>
    <row r="3" spans="1:5" ht="18" thickBot="1">
      <c r="A3" s="34" t="s">
        <v>192</v>
      </c>
      <c r="B3" s="163">
        <v>94280</v>
      </c>
      <c r="C3" s="102" t="s">
        <v>167</v>
      </c>
    </row>
    <row r="4" spans="1:5" ht="18" thickBot="1">
      <c r="A4" s="34" t="s">
        <v>193</v>
      </c>
      <c r="B4" s="159">
        <v>0.16</v>
      </c>
      <c r="C4" s="102" t="s">
        <v>168</v>
      </c>
    </row>
    <row r="5" spans="1:5" ht="18" thickBot="1">
      <c r="A5" s="34" t="s">
        <v>194</v>
      </c>
      <c r="B5" s="163">
        <v>5</v>
      </c>
      <c r="C5" s="102" t="s">
        <v>169</v>
      </c>
    </row>
    <row r="6" spans="1:5" ht="18" thickBot="1">
      <c r="A6" s="34" t="s">
        <v>195</v>
      </c>
      <c r="B6" s="159">
        <v>8.6999999999999994E-2</v>
      </c>
      <c r="C6" s="102" t="s">
        <v>170</v>
      </c>
    </row>
    <row r="7" spans="1:5" ht="18" thickBot="1">
      <c r="A7" s="34" t="s">
        <v>196</v>
      </c>
      <c r="B7" s="159">
        <v>0.66</v>
      </c>
      <c r="C7" s="102" t="s">
        <v>171</v>
      </c>
    </row>
    <row r="8" spans="1:5" ht="18" thickBot="1">
      <c r="A8" s="34" t="s">
        <v>197</v>
      </c>
      <c r="B8" s="163">
        <v>12</v>
      </c>
      <c r="C8" s="102" t="s">
        <v>172</v>
      </c>
    </row>
    <row r="9" spans="1:5" ht="18" thickBot="1">
      <c r="A9" s="34" t="s">
        <v>198</v>
      </c>
      <c r="B9" s="163">
        <v>2489</v>
      </c>
      <c r="C9" s="102" t="s">
        <v>173</v>
      </c>
    </row>
    <row r="10" spans="1:5" ht="18" thickBot="1">
      <c r="A10" s="34" t="s">
        <v>199</v>
      </c>
      <c r="B10" s="163">
        <v>2595</v>
      </c>
      <c r="C10" s="102" t="s">
        <v>175</v>
      </c>
    </row>
    <row r="12" spans="1:5" ht="15" thickBot="1"/>
    <row r="13" spans="1:5" ht="20" customHeight="1" thickBot="1">
      <c r="A13" s="34" t="s">
        <v>107</v>
      </c>
      <c r="B13" s="34" t="s">
        <v>96</v>
      </c>
      <c r="C13" s="34" t="s">
        <v>176</v>
      </c>
      <c r="D13" s="34" t="s">
        <v>177</v>
      </c>
      <c r="E13" s="34" t="s">
        <v>178</v>
      </c>
    </row>
    <row r="14" spans="1:5" ht="15" thickBot="1">
      <c r="A14" s="34">
        <f>B2+0</f>
        <v>2025</v>
      </c>
      <c r="B14" s="34">
        <f>B3</f>
        <v>94280</v>
      </c>
      <c r="C14" s="34">
        <f>B14*B7</f>
        <v>62224.800000000003</v>
      </c>
      <c r="D14" s="34">
        <f>1/(1+B6)^(A14-B2)</f>
        <v>1</v>
      </c>
      <c r="E14" s="34">
        <f t="shared" ref="E14:E19" si="0">C14*D14</f>
        <v>62224.800000000003</v>
      </c>
    </row>
    <row r="15" spans="1:5" ht="15" thickBot="1">
      <c r="A15" s="34">
        <f>B2+1</f>
        <v>2026</v>
      </c>
      <c r="B15" s="34">
        <f>B14*(1+B4)</f>
        <v>109364.79999999999</v>
      </c>
      <c r="C15" s="34">
        <f>B15*B7</f>
        <v>72180.767999999996</v>
      </c>
      <c r="D15" s="34">
        <f>1/(1+B6)^(A15-B2)</f>
        <v>0.91996320147194111</v>
      </c>
      <c r="E15" s="34">
        <f t="shared" si="0"/>
        <v>66403.650413983443</v>
      </c>
    </row>
    <row r="16" spans="1:5" ht="15" thickBot="1">
      <c r="A16" s="34">
        <f>B2+2</f>
        <v>2027</v>
      </c>
      <c r="B16" s="34">
        <f>B15*(1+B4)</f>
        <v>126863.16799999998</v>
      </c>
      <c r="C16" s="34">
        <f>B16*B7</f>
        <v>83729.690879999995</v>
      </c>
      <c r="D16" s="34">
        <f>1/(1+B6)^(A16-B2)</f>
        <v>0.84633229206250338</v>
      </c>
      <c r="E16" s="34">
        <f t="shared" si="0"/>
        <v>70863.14119615528</v>
      </c>
    </row>
    <row r="17" spans="1:10" ht="15" thickBot="1">
      <c r="A17" s="34">
        <f>B2+3</f>
        <v>2028</v>
      </c>
      <c r="B17" s="34">
        <f>B16*(1+B4)</f>
        <v>147161.27487999995</v>
      </c>
      <c r="C17" s="34">
        <f>B17*B7</f>
        <v>97126.44142079998</v>
      </c>
      <c r="D17" s="34">
        <f>1/(1+B6)^(A17-B2)</f>
        <v>0.77859456491490653</v>
      </c>
      <c r="E17" s="34">
        <f t="shared" si="0"/>
        <v>75622.119399760923</v>
      </c>
    </row>
    <row r="18" spans="1:10" ht="15" thickBot="1">
      <c r="A18" s="34">
        <f>B2+4</f>
        <v>2029</v>
      </c>
      <c r="B18" s="34">
        <f>B17*(1+B4)</f>
        <v>170707.07886079993</v>
      </c>
      <c r="C18" s="34">
        <f>B18*B7</f>
        <v>112666.67204812796</v>
      </c>
      <c r="D18" s="34">
        <f>1/(1+B6)^(A18-B2)</f>
        <v>0.71627834858777062</v>
      </c>
      <c r="E18" s="34">
        <f t="shared" si="0"/>
        <v>80700.697795513028</v>
      </c>
    </row>
    <row r="19" spans="1:10" ht="15" thickBot="1">
      <c r="A19" s="34">
        <f>B2+5</f>
        <v>2030</v>
      </c>
      <c r="B19" s="34">
        <f>B18*(1+B4)</f>
        <v>198020.2114785279</v>
      </c>
      <c r="C19" s="34">
        <f>B19*B7</f>
        <v>130693.33957582842</v>
      </c>
      <c r="D19" s="34">
        <f>1/(1+B6)^(A19-B2)</f>
        <v>0.6589497227118406</v>
      </c>
      <c r="E19" s="34">
        <f t="shared" si="0"/>
        <v>86120.339873776553</v>
      </c>
      <c r="J19" s="389" t="s">
        <v>82</v>
      </c>
    </row>
    <row r="21" spans="1:10" ht="15" thickBot="1"/>
    <row r="22" spans="1:10" ht="18" thickBot="1">
      <c r="A22" s="386" t="s">
        <v>179</v>
      </c>
      <c r="B22" s="404" t="s">
        <v>201</v>
      </c>
      <c r="D22" s="51" t="s">
        <v>200</v>
      </c>
      <c r="E22" s="52">
        <f>B30</f>
        <v>772.74378035475195</v>
      </c>
    </row>
    <row r="23" spans="1:10" ht="19" thickTop="1" thickBot="1">
      <c r="A23" s="34" t="s">
        <v>181</v>
      </c>
      <c r="B23" s="405">
        <f>SUM(E14:E19)</f>
        <v>441934.74867918919</v>
      </c>
      <c r="D23" s="43" t="s">
        <v>25</v>
      </c>
      <c r="E23" s="53">
        <v>738.7</v>
      </c>
    </row>
    <row r="24" spans="1:10" ht="20" thickBot="1">
      <c r="A24" s="34" t="s">
        <v>182</v>
      </c>
      <c r="B24" s="405">
        <f>B19*B8</f>
        <v>2376242.5377423349</v>
      </c>
      <c r="D24" s="54" t="s">
        <v>26</v>
      </c>
      <c r="E24" s="55">
        <f>(E22-E23)/E23</f>
        <v>4.6086070603427509E-2</v>
      </c>
    </row>
    <row r="25" spans="1:10" ht="18" thickBot="1">
      <c r="A25" s="34" t="s">
        <v>183</v>
      </c>
      <c r="B25" s="405">
        <f>B24/(1+B6)^B5</f>
        <v>1565824.3613413919</v>
      </c>
      <c r="D25" s="56" t="s">
        <v>27</v>
      </c>
      <c r="E25" s="52" t="str">
        <f>IF(E24&gt;0,"BUY","SELL")</f>
        <v>BUY</v>
      </c>
    </row>
    <row r="26" spans="1:10" ht="15" thickBot="1">
      <c r="A26" s="34" t="s">
        <v>184</v>
      </c>
      <c r="B26" s="34">
        <f>B23+B25</f>
        <v>2007759.1100205812</v>
      </c>
    </row>
    <row r="27" spans="1:10" ht="15" thickBot="1">
      <c r="A27" s="34" t="s">
        <v>185</v>
      </c>
      <c r="B27" s="34">
        <f>B9</f>
        <v>2489</v>
      </c>
    </row>
    <row r="28" spans="1:10" ht="15" thickBot="1">
      <c r="A28" s="34" t="s">
        <v>186</v>
      </c>
      <c r="B28" s="34">
        <f>B26-B27</f>
        <v>2005270.1100205812</v>
      </c>
    </row>
    <row r="29" spans="1:10" ht="15" thickBot="1">
      <c r="A29" s="34" t="s">
        <v>174</v>
      </c>
      <c r="B29" s="34">
        <f>B10</f>
        <v>2595</v>
      </c>
    </row>
    <row r="30" spans="1:10" ht="15" thickBot="1">
      <c r="A30" s="34" t="s">
        <v>187</v>
      </c>
      <c r="B30" s="405">
        <f>B28/B29</f>
        <v>772.74378035475195</v>
      </c>
    </row>
    <row r="31" spans="1:10" ht="15" thickBot="1"/>
    <row r="32" spans="1:10" ht="18" thickBot="1">
      <c r="A32" s="34" t="s">
        <v>188</v>
      </c>
      <c r="B32" s="7">
        <f>B3*B8</f>
        <v>1131360</v>
      </c>
      <c r="D32" s="51" t="s">
        <v>200</v>
      </c>
      <c r="E32" s="52">
        <f>B34</f>
        <v>435.01772639691717</v>
      </c>
    </row>
    <row r="33" spans="1:5" ht="18" thickBot="1">
      <c r="A33" s="34" t="s">
        <v>189</v>
      </c>
      <c r="B33" s="7">
        <f>B32-B9</f>
        <v>1128871</v>
      </c>
      <c r="D33" s="43" t="s">
        <v>25</v>
      </c>
      <c r="E33" s="53">
        <f>E23</f>
        <v>738.7</v>
      </c>
    </row>
    <row r="34" spans="1:5" ht="20" thickBot="1">
      <c r="A34" s="34" t="s">
        <v>190</v>
      </c>
      <c r="B34" s="7">
        <f>B33/B10</f>
        <v>435.01772639691717</v>
      </c>
      <c r="D34" s="54" t="s">
        <v>26</v>
      </c>
      <c r="E34" s="55">
        <f>(E32-E33)/E33</f>
        <v>-0.41110365994731674</v>
      </c>
    </row>
    <row r="35" spans="1:5" ht="18" thickBot="1">
      <c r="A35" s="388"/>
      <c r="D35" s="56" t="s">
        <v>27</v>
      </c>
      <c r="E35" s="52" t="str">
        <f>IF(E34&gt;0,"BUY","SELL")</f>
        <v>SELL</v>
      </c>
    </row>
  </sheetData>
  <phoneticPr fontId="23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3BD7-D166-A941-81B4-EEBFDA9FD6EC}">
  <dimension ref="A1:J35"/>
  <sheetViews>
    <sheetView zoomScale="177" workbookViewId="0">
      <selection activeCell="A12" sqref="A12"/>
    </sheetView>
  </sheetViews>
  <sheetFormatPr baseColWidth="10" defaultColWidth="8.83203125" defaultRowHeight="14"/>
  <cols>
    <col min="1" max="1" width="41.33203125" style="385" customWidth="1"/>
    <col min="2" max="2" width="27" style="385" customWidth="1"/>
    <col min="3" max="3" width="33" style="388" customWidth="1"/>
    <col min="4" max="4" width="17.6640625" style="385" customWidth="1"/>
    <col min="5" max="5" width="21" style="385" customWidth="1"/>
    <col min="6" max="16384" width="8.83203125" style="385"/>
  </cols>
  <sheetData>
    <row r="1" spans="1:5" ht="15" thickBot="1">
      <c r="A1" s="386" t="s">
        <v>163</v>
      </c>
      <c r="B1" s="386" t="s">
        <v>164</v>
      </c>
      <c r="C1" s="387" t="s">
        <v>165</v>
      </c>
    </row>
    <row r="2" spans="1:5" ht="18" thickBot="1">
      <c r="A2" s="34" t="s">
        <v>191</v>
      </c>
      <c r="B2" s="193">
        <v>2025</v>
      </c>
      <c r="C2" s="102" t="s">
        <v>166</v>
      </c>
    </row>
    <row r="3" spans="1:5" ht="18" thickBot="1">
      <c r="A3" s="34" t="s">
        <v>192</v>
      </c>
      <c r="B3" s="163">
        <v>2977</v>
      </c>
      <c r="C3" s="102" t="s">
        <v>167</v>
      </c>
    </row>
    <row r="4" spans="1:5" ht="18" thickBot="1">
      <c r="A4" s="34" t="s">
        <v>193</v>
      </c>
      <c r="B4" s="159">
        <v>0.01</v>
      </c>
      <c r="C4" s="102" t="s">
        <v>168</v>
      </c>
    </row>
    <row r="5" spans="1:5" ht="18" thickBot="1">
      <c r="A5" s="34" t="s">
        <v>194</v>
      </c>
      <c r="B5" s="163">
        <v>5</v>
      </c>
      <c r="C5" s="102" t="s">
        <v>169</v>
      </c>
    </row>
    <row r="6" spans="1:5" ht="18" thickBot="1">
      <c r="A6" s="34" t="s">
        <v>195</v>
      </c>
      <c r="B6" s="159">
        <v>8.6999999999999994E-2</v>
      </c>
      <c r="C6" s="102" t="s">
        <v>170</v>
      </c>
    </row>
    <row r="7" spans="1:5" ht="18" thickBot="1">
      <c r="A7" s="34" t="s">
        <v>196</v>
      </c>
      <c r="B7" s="159">
        <v>0.4</v>
      </c>
      <c r="C7" s="102" t="s">
        <v>171</v>
      </c>
    </row>
    <row r="8" spans="1:5" ht="18" thickBot="1">
      <c r="A8" s="34" t="s">
        <v>197</v>
      </c>
      <c r="B8" s="163">
        <v>10</v>
      </c>
      <c r="C8" s="102" t="s">
        <v>172</v>
      </c>
    </row>
    <row r="9" spans="1:5" ht="18" thickBot="1">
      <c r="A9" s="34" t="s">
        <v>198</v>
      </c>
      <c r="B9" s="163">
        <v>381.51</v>
      </c>
      <c r="C9" s="102" t="s">
        <v>173</v>
      </c>
    </row>
    <row r="10" spans="1:5" ht="18" thickBot="1">
      <c r="A10" s="34" t="s">
        <v>199</v>
      </c>
      <c r="B10" s="163">
        <v>123</v>
      </c>
      <c r="C10" s="102" t="s">
        <v>175</v>
      </c>
    </row>
    <row r="12" spans="1:5" ht="15" thickBot="1"/>
    <row r="13" spans="1:5" ht="20" customHeight="1" thickBot="1">
      <c r="A13" s="34" t="s">
        <v>107</v>
      </c>
      <c r="B13" s="34" t="s">
        <v>96</v>
      </c>
      <c r="C13" s="34" t="s">
        <v>176</v>
      </c>
      <c r="D13" s="34" t="s">
        <v>177</v>
      </c>
      <c r="E13" s="34" t="s">
        <v>178</v>
      </c>
    </row>
    <row r="14" spans="1:5" ht="15" thickBot="1">
      <c r="A14" s="34">
        <f>B2+0</f>
        <v>2025</v>
      </c>
      <c r="B14" s="34">
        <f>B3</f>
        <v>2977</v>
      </c>
      <c r="C14" s="34">
        <f>B14*B7</f>
        <v>1190.8</v>
      </c>
      <c r="D14" s="34">
        <f>1/(1+B6)^(A14-B2)</f>
        <v>1</v>
      </c>
      <c r="E14" s="34">
        <f t="shared" ref="E14:E19" si="0">C14*D14</f>
        <v>1190.8</v>
      </c>
    </row>
    <row r="15" spans="1:5" ht="15" thickBot="1">
      <c r="A15" s="34">
        <f>B2+1</f>
        <v>2026</v>
      </c>
      <c r="B15" s="34">
        <f>B14*(1+B4)</f>
        <v>3006.77</v>
      </c>
      <c r="C15" s="34">
        <f>B15*B7</f>
        <v>1202.7080000000001</v>
      </c>
      <c r="D15" s="34">
        <f>1/(1+B6)^(A15-B2)</f>
        <v>0.91996320147194111</v>
      </c>
      <c r="E15" s="34">
        <f t="shared" si="0"/>
        <v>1106.4471021159154</v>
      </c>
    </row>
    <row r="16" spans="1:5" ht="15" thickBot="1">
      <c r="A16" s="34">
        <f>B2+2</f>
        <v>2027</v>
      </c>
      <c r="B16" s="34">
        <f>B15*(1+B4)</f>
        <v>3036.8377</v>
      </c>
      <c r="C16" s="34">
        <f>B16*B7</f>
        <v>1214.7350800000002</v>
      </c>
      <c r="D16" s="34">
        <f>1/(1+B6)^(A16-B2)</f>
        <v>0.84633229206250338</v>
      </c>
      <c r="E16" s="34">
        <f t="shared" si="0"/>
        <v>1028.0695245051286</v>
      </c>
    </row>
    <row r="17" spans="1:10" ht="15" thickBot="1">
      <c r="A17" s="34">
        <f>B2+3</f>
        <v>2028</v>
      </c>
      <c r="B17" s="34">
        <f>B16*(1+B4)</f>
        <v>3067.2060770000003</v>
      </c>
      <c r="C17" s="34">
        <f>B17*B7</f>
        <v>1226.8824308000001</v>
      </c>
      <c r="D17" s="34">
        <f>1/(1+B6)^(A17-B2)</f>
        <v>0.77859456491490653</v>
      </c>
      <c r="E17" s="34">
        <f t="shared" si="0"/>
        <v>955.24399241046899</v>
      </c>
    </row>
    <row r="18" spans="1:10" ht="15" thickBot="1">
      <c r="A18" s="34">
        <f>B2+4</f>
        <v>2029</v>
      </c>
      <c r="B18" s="34">
        <f>B17*(1+B4)</f>
        <v>3097.8781377700002</v>
      </c>
      <c r="C18" s="34">
        <f>B18*B7</f>
        <v>1239.1512551080002</v>
      </c>
      <c r="D18" s="34">
        <f>1/(1+B6)^(A18-B2)</f>
        <v>0.71627834858777062</v>
      </c>
      <c r="E18" s="34">
        <f t="shared" si="0"/>
        <v>887.57721465922168</v>
      </c>
    </row>
    <row r="19" spans="1:10" ht="15" thickBot="1">
      <c r="A19" s="34">
        <f>B2+5</f>
        <v>2030</v>
      </c>
      <c r="B19" s="34">
        <f>B18*(1+B4)</f>
        <v>3128.8569191477004</v>
      </c>
      <c r="C19" s="34">
        <f>B19*B7</f>
        <v>1251.5427676590803</v>
      </c>
      <c r="D19" s="34">
        <f>1/(1+B6)^(A19-B2)</f>
        <v>0.6589497227118406</v>
      </c>
      <c r="E19" s="34">
        <f t="shared" si="0"/>
        <v>824.70375971096053</v>
      </c>
      <c r="J19" s="389" t="s">
        <v>82</v>
      </c>
    </row>
    <row r="21" spans="1:10" ht="15" thickBot="1"/>
    <row r="22" spans="1:10" ht="18" thickBot="1">
      <c r="A22" s="386" t="s">
        <v>179</v>
      </c>
      <c r="B22" s="404" t="s">
        <v>201</v>
      </c>
      <c r="D22" s="51" t="s">
        <v>200</v>
      </c>
      <c r="E22" s="52">
        <f>B30</f>
        <v>213.24329744858298</v>
      </c>
    </row>
    <row r="23" spans="1:10" ht="19" thickTop="1" thickBot="1">
      <c r="A23" s="34" t="s">
        <v>181</v>
      </c>
      <c r="B23" s="405">
        <f>SUM(E14:E19)</f>
        <v>5992.8415934016948</v>
      </c>
      <c r="D23" s="43" t="s">
        <v>25</v>
      </c>
      <c r="E23" s="53">
        <v>200.21</v>
      </c>
    </row>
    <row r="24" spans="1:10" ht="20" thickBot="1">
      <c r="A24" s="34" t="s">
        <v>182</v>
      </c>
      <c r="B24" s="405">
        <f>B19*B8</f>
        <v>31288.569191477003</v>
      </c>
      <c r="D24" s="54" t="s">
        <v>26</v>
      </c>
      <c r="E24" s="55">
        <f>(E22-E23)/E23</f>
        <v>6.509813420200275E-2</v>
      </c>
    </row>
    <row r="25" spans="1:10" ht="18" thickBot="1">
      <c r="A25" s="34" t="s">
        <v>183</v>
      </c>
      <c r="B25" s="405">
        <f>B24/(1+B6)^B5</f>
        <v>20617.593992774007</v>
      </c>
      <c r="D25" s="56" t="s">
        <v>27</v>
      </c>
      <c r="E25" s="52" t="str">
        <f>IF(E24&gt;0,"BUY","SELL")</f>
        <v>BUY</v>
      </c>
    </row>
    <row r="26" spans="1:10" ht="15" thickBot="1">
      <c r="A26" s="34" t="s">
        <v>184</v>
      </c>
      <c r="B26" s="34">
        <f>B23+B25</f>
        <v>26610.435586175703</v>
      </c>
    </row>
    <row r="27" spans="1:10" ht="15" thickBot="1">
      <c r="A27" s="34" t="s">
        <v>185</v>
      </c>
      <c r="B27" s="34">
        <f>B9</f>
        <v>381.51</v>
      </c>
    </row>
    <row r="28" spans="1:10" ht="15" thickBot="1">
      <c r="A28" s="34" t="s">
        <v>186</v>
      </c>
      <c r="B28" s="34">
        <f>B26-B27</f>
        <v>26228.925586175705</v>
      </c>
    </row>
    <row r="29" spans="1:10" ht="15" thickBot="1">
      <c r="A29" s="34" t="s">
        <v>174</v>
      </c>
      <c r="B29" s="34">
        <f>B10</f>
        <v>123</v>
      </c>
    </row>
    <row r="30" spans="1:10" ht="15" thickBot="1">
      <c r="A30" s="34" t="s">
        <v>187</v>
      </c>
      <c r="B30" s="405">
        <f>B28/B29</f>
        <v>213.24329744858298</v>
      </c>
    </row>
    <row r="31" spans="1:10" ht="15" thickBot="1"/>
    <row r="32" spans="1:10" ht="18" thickBot="1">
      <c r="A32" s="34" t="s">
        <v>188</v>
      </c>
      <c r="B32" s="7">
        <f>B3*B8</f>
        <v>29770</v>
      </c>
      <c r="D32" s="51" t="s">
        <v>200</v>
      </c>
      <c r="E32" s="52">
        <f>B34</f>
        <v>238.93081300813009</v>
      </c>
    </row>
    <row r="33" spans="1:5" ht="18" thickBot="1">
      <c r="A33" s="34" t="s">
        <v>189</v>
      </c>
      <c r="B33" s="7">
        <f>B32-B9</f>
        <v>29388.49</v>
      </c>
      <c r="D33" s="43" t="s">
        <v>25</v>
      </c>
      <c r="E33" s="53">
        <f>E23</f>
        <v>200.21</v>
      </c>
    </row>
    <row r="34" spans="1:5" ht="20" thickBot="1">
      <c r="A34" s="34" t="s">
        <v>190</v>
      </c>
      <c r="B34" s="7">
        <f>B33/B10</f>
        <v>238.93081300813009</v>
      </c>
      <c r="D34" s="54" t="s">
        <v>26</v>
      </c>
      <c r="E34" s="55">
        <f>(E32-E33)/E33</f>
        <v>0.1934009939969536</v>
      </c>
    </row>
    <row r="35" spans="1:5" ht="18" thickBot="1">
      <c r="A35" s="388"/>
      <c r="D35" s="56" t="s">
        <v>27</v>
      </c>
      <c r="E35" s="52" t="str">
        <f>IF(E34&gt;0,"BUY","SELL")</f>
        <v>BUY</v>
      </c>
    </row>
  </sheetData>
  <phoneticPr fontId="23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CC6CA-337A-B446-A16B-4F7A6D901772}">
  <dimension ref="A1:M65"/>
  <sheetViews>
    <sheetView zoomScale="144" workbookViewId="0">
      <selection activeCell="A31" sqref="A31"/>
    </sheetView>
  </sheetViews>
  <sheetFormatPr baseColWidth="10" defaultColWidth="9" defaultRowHeight="14"/>
  <cols>
    <col min="2" max="2" width="20.1640625" customWidth="1"/>
    <col min="3" max="3" width="16.33203125" style="230" customWidth="1"/>
    <col min="4" max="4" width="12.5" style="230" customWidth="1"/>
    <col min="5" max="5" width="9.5" style="230" bestFit="1" customWidth="1"/>
    <col min="6" max="6" width="21.1640625" style="230" bestFit="1" customWidth="1"/>
    <col min="7" max="7" width="21.83203125" style="230" customWidth="1"/>
    <col min="8" max="8" width="10.5" style="230" bestFit="1" customWidth="1"/>
    <col min="9" max="9" width="15.6640625" style="230" customWidth="1"/>
    <col min="10" max="12" width="10.5" style="230" bestFit="1" customWidth="1"/>
    <col min="13" max="13" width="13.6640625" style="23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133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0.2</v>
      </c>
      <c r="K3" s="12">
        <v>0.15</v>
      </c>
      <c r="L3" s="12">
        <v>0.12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156227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32" t="s">
        <v>6</v>
      </c>
      <c r="F6" s="232"/>
      <c r="G6" s="23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33" t="s">
        <v>12</v>
      </c>
      <c r="C10" s="30">
        <v>2022</v>
      </c>
      <c r="D10" s="234">
        <v>2023</v>
      </c>
      <c r="E10" s="234">
        <v>2024</v>
      </c>
      <c r="F10" s="234">
        <v>2025</v>
      </c>
      <c r="G10" s="234">
        <v>2026</v>
      </c>
      <c r="H10" s="234">
        <v>2027</v>
      </c>
      <c r="I10" s="234">
        <v>2028</v>
      </c>
      <c r="J10" s="234">
        <v>2029</v>
      </c>
      <c r="K10" s="234">
        <v>2030</v>
      </c>
      <c r="L10" s="234">
        <v>2031</v>
      </c>
      <c r="M10" s="234">
        <v>2032</v>
      </c>
    </row>
    <row r="11" spans="1:13" ht="18" thickBot="1">
      <c r="A11" s="2"/>
      <c r="B11" s="7" t="s">
        <v>13</v>
      </c>
      <c r="C11" s="32">
        <v>52100</v>
      </c>
      <c r="D11" s="33">
        <f>C11*(1+H3)</f>
        <v>62520</v>
      </c>
      <c r="E11" s="33">
        <f>D11*(1+$I$3)</f>
        <v>75024</v>
      </c>
      <c r="F11" s="33">
        <f>E11*(1+$J$3)</f>
        <v>90028.800000000003</v>
      </c>
      <c r="G11" s="33">
        <f>F11*(1+$K$3)</f>
        <v>103533.12</v>
      </c>
      <c r="H11" s="33">
        <f>G11*(1+$L$3)</f>
        <v>115957.0944</v>
      </c>
      <c r="I11" s="33">
        <f>H11*(1+$C$8)</f>
        <v>125233.66195200001</v>
      </c>
      <c r="J11" s="33">
        <f>I11*(1+$C$8)</f>
        <v>135252.35490816002</v>
      </c>
      <c r="K11" s="33">
        <f>J11*(1+$C$8)</f>
        <v>146072.54330081283</v>
      </c>
      <c r="L11" s="33">
        <f>K11*(1+$C$8)</f>
        <v>157758.34676487788</v>
      </c>
      <c r="M11" s="33">
        <f>L11*(1+$C$8)</f>
        <v>170379.01450606811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2328513.1982495971</v>
      </c>
    </row>
    <row r="13" spans="1:13" ht="20" thickBot="1">
      <c r="A13" s="2"/>
      <c r="B13" s="35" t="s">
        <v>15</v>
      </c>
      <c r="C13" s="34"/>
      <c r="D13" s="33">
        <f t="shared" ref="D13:L13" si="0">D11</f>
        <v>62520</v>
      </c>
      <c r="E13" s="33">
        <f t="shared" si="0"/>
        <v>75024</v>
      </c>
      <c r="F13" s="33">
        <f t="shared" si="0"/>
        <v>90028.800000000003</v>
      </c>
      <c r="G13" s="33">
        <f t="shared" si="0"/>
        <v>103533.12</v>
      </c>
      <c r="H13" s="33">
        <f t="shared" si="0"/>
        <v>115957.0944</v>
      </c>
      <c r="I13" s="33">
        <f t="shared" si="0"/>
        <v>125233.66195200001</v>
      </c>
      <c r="J13" s="33">
        <f t="shared" si="0"/>
        <v>135252.35490816002</v>
      </c>
      <c r="K13" s="33">
        <f t="shared" si="0"/>
        <v>146072.54330081283</v>
      </c>
      <c r="L13" s="33">
        <f t="shared" si="0"/>
        <v>157758.34676487788</v>
      </c>
      <c r="M13" s="60">
        <f>M11+M12</f>
        <v>2498892.2127556652</v>
      </c>
    </row>
    <row r="14" spans="1:13" ht="15" thickBot="1">
      <c r="A14" s="2"/>
      <c r="B14" s="36" t="s">
        <v>35</v>
      </c>
      <c r="C14" s="37">
        <f>C11/J5</f>
        <v>0.33348908959398821</v>
      </c>
      <c r="D14" s="37">
        <f>C14*(1+$H$3)/(1+$H$4)</f>
        <v>0.30783608270214297</v>
      </c>
      <c r="E14" s="37">
        <f>D14*(1+$I$3)/(1+$I$4)</f>
        <v>0.28415638403274734</v>
      </c>
      <c r="F14" s="37">
        <f>E14*(1+$J$3)/(1+$J$4)</f>
        <v>0.28415638403274734</v>
      </c>
      <c r="G14" s="37">
        <f>F14*(1+$K$3)/(1+$K$4)</f>
        <v>0.27231653469804956</v>
      </c>
      <c r="H14" s="37">
        <f>G14*(1+$L$3)/(1+$L$4)</f>
        <v>0.25416209905151299</v>
      </c>
      <c r="I14" s="61">
        <f>H14*(1+$C$8)/(1+$J$8)</f>
        <v>0.24954096997784911</v>
      </c>
      <c r="J14" s="61">
        <f>I14*(1+$C$8)/(1+$J$8)</f>
        <v>0.24500386143279729</v>
      </c>
      <c r="K14" s="61">
        <f>J14*(1+$C$8)/(1+$J$8)</f>
        <v>0.24054924577038275</v>
      </c>
      <c r="L14" s="61">
        <f>K14*(1+$C$8)/(1+$J$8)</f>
        <v>0.23617562312001217</v>
      </c>
      <c r="M14" s="61">
        <f>L14*(1+$C$8)/(1+$J$8)</f>
        <v>0.23188152088146646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33" t="s">
        <v>16</v>
      </c>
      <c r="C16" s="234"/>
      <c r="D16" s="40"/>
      <c r="E16" s="235" t="s">
        <v>80</v>
      </c>
      <c r="F16" s="236">
        <f>C22</f>
        <v>611.39398054563071</v>
      </c>
      <c r="G16" s="23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1567771.3494186399</v>
      </c>
      <c r="D17" s="40"/>
      <c r="E17" s="236"/>
      <c r="F17" s="236"/>
      <c r="G17" s="23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70900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49047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34">
        <f>C17+C18-C19</f>
        <v>1589624.3494186399</v>
      </c>
      <c r="D20" s="47"/>
      <c r="E20" s="237" t="s">
        <v>22</v>
      </c>
      <c r="F20" s="238">
        <f>C23</f>
        <v>567.58000000000004</v>
      </c>
      <c r="G20" s="23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2600</v>
      </c>
      <c r="D21" s="47"/>
      <c r="E21" s="237"/>
      <c r="F21" s="238"/>
      <c r="G21" s="23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611.39398054563071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567.58000000000004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7.719437003705322E-2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29" t="s">
        <v>36</v>
      </c>
    </row>
    <row r="30" spans="1:13">
      <c r="B30" s="231"/>
    </row>
    <row r="31" spans="1:13" ht="15" thickBot="1">
      <c r="A31" s="391"/>
      <c r="B31" s="391"/>
      <c r="C31" s="392"/>
      <c r="D31" s="393"/>
      <c r="E31" s="393"/>
      <c r="F31" s="393"/>
    </row>
    <row r="32" spans="1:13" ht="17" thickBot="1">
      <c r="A32" s="394"/>
      <c r="B32" s="193"/>
      <c r="C32" s="395"/>
      <c r="D32" s="393"/>
      <c r="E32" s="393"/>
      <c r="F32" s="393"/>
    </row>
    <row r="33" spans="1:6" ht="17" thickBot="1">
      <c r="A33" s="396"/>
      <c r="B33" s="163"/>
      <c r="C33" s="397"/>
      <c r="D33" s="393"/>
      <c r="E33" s="393"/>
      <c r="F33" s="393"/>
    </row>
    <row r="34" spans="1:6" ht="17" thickBot="1">
      <c r="A34" s="396"/>
      <c r="B34" s="159"/>
      <c r="C34" s="397"/>
      <c r="D34" s="393"/>
      <c r="E34" s="393"/>
      <c r="F34" s="393"/>
    </row>
    <row r="35" spans="1:6" ht="17" thickBot="1">
      <c r="A35" s="396"/>
      <c r="B35" s="163"/>
      <c r="C35" s="397"/>
      <c r="D35" s="393"/>
      <c r="E35" s="393"/>
      <c r="F35" s="393"/>
    </row>
    <row r="36" spans="1:6" ht="17" thickBot="1">
      <c r="A36" s="396"/>
      <c r="B36" s="159"/>
      <c r="C36" s="397"/>
      <c r="D36" s="393"/>
      <c r="E36" s="393"/>
      <c r="F36" s="393"/>
    </row>
    <row r="37" spans="1:6" ht="17" thickBot="1">
      <c r="A37" s="396"/>
      <c r="B37" s="159"/>
      <c r="C37" s="397"/>
      <c r="D37" s="393"/>
      <c r="E37" s="393"/>
      <c r="F37" s="393"/>
    </row>
    <row r="38" spans="1:6" ht="17" thickBot="1">
      <c r="A38" s="396"/>
      <c r="B38" s="163"/>
      <c r="C38" s="397"/>
      <c r="D38" s="393"/>
      <c r="E38" s="393"/>
      <c r="F38" s="393"/>
    </row>
    <row r="39" spans="1:6" ht="17" thickBot="1">
      <c r="A39" s="396"/>
      <c r="B39" s="163"/>
      <c r="C39" s="397"/>
      <c r="D39" s="393"/>
      <c r="E39" s="393"/>
      <c r="F39" s="393"/>
    </row>
    <row r="40" spans="1:6" ht="17" thickBot="1">
      <c r="A40" s="396"/>
      <c r="B40" s="163"/>
      <c r="C40" s="397"/>
      <c r="D40" s="393"/>
      <c r="E40" s="393"/>
      <c r="F40" s="393"/>
    </row>
    <row r="41" spans="1:6">
      <c r="A41" s="393"/>
      <c r="B41" s="393"/>
      <c r="C41" s="398"/>
      <c r="D41" s="393"/>
      <c r="E41" s="393"/>
      <c r="F41" s="393"/>
    </row>
    <row r="42" spans="1:6" ht="15" thickBot="1">
      <c r="A42" s="393"/>
      <c r="B42" s="393"/>
      <c r="C42" s="398"/>
      <c r="D42" s="393"/>
      <c r="E42" s="393"/>
      <c r="F42" s="393"/>
    </row>
    <row r="43" spans="1:6" ht="15" thickBot="1">
      <c r="A43" s="394"/>
      <c r="B43" s="399"/>
      <c r="C43" s="399"/>
      <c r="D43" s="399"/>
      <c r="E43" s="399"/>
      <c r="F43" s="393"/>
    </row>
    <row r="44" spans="1:6" ht="15" thickBot="1">
      <c r="A44" s="396"/>
      <c r="B44" s="180"/>
      <c r="C44" s="180"/>
      <c r="D44" s="180"/>
      <c r="E44" s="180"/>
      <c r="F44" s="393"/>
    </row>
    <row r="45" spans="1:6" ht="15" thickBot="1">
      <c r="A45" s="396"/>
      <c r="B45" s="180"/>
      <c r="C45" s="180"/>
      <c r="D45" s="180"/>
      <c r="E45" s="180"/>
      <c r="F45" s="393"/>
    </row>
    <row r="46" spans="1:6" ht="15" thickBot="1">
      <c r="A46" s="396"/>
      <c r="B46" s="180"/>
      <c r="C46" s="180"/>
      <c r="D46" s="180"/>
      <c r="E46" s="180"/>
      <c r="F46" s="393"/>
    </row>
    <row r="47" spans="1:6" ht="15" thickBot="1">
      <c r="A47" s="396"/>
      <c r="B47" s="180"/>
      <c r="C47" s="180"/>
      <c r="D47" s="180"/>
      <c r="E47" s="180"/>
      <c r="F47" s="393"/>
    </row>
    <row r="48" spans="1:6" ht="15" thickBot="1">
      <c r="A48" s="396"/>
      <c r="B48" s="180"/>
      <c r="C48" s="180"/>
      <c r="D48" s="180"/>
      <c r="E48" s="180"/>
      <c r="F48" s="393"/>
    </row>
    <row r="49" spans="1:6" ht="15" thickBot="1">
      <c r="A49" s="396"/>
      <c r="B49" s="180"/>
      <c r="C49" s="180"/>
      <c r="D49" s="180"/>
      <c r="E49" s="180"/>
      <c r="F49" s="393"/>
    </row>
    <row r="50" spans="1:6">
      <c r="A50" s="393"/>
      <c r="B50" s="393"/>
      <c r="C50" s="398"/>
      <c r="D50" s="393"/>
      <c r="E50" s="393"/>
      <c r="F50" s="393"/>
    </row>
    <row r="51" spans="1:6" ht="15" thickBot="1">
      <c r="A51" s="393"/>
      <c r="B51" s="393"/>
      <c r="C51" s="398"/>
      <c r="D51" s="393"/>
      <c r="E51" s="393"/>
      <c r="F51" s="393"/>
    </row>
    <row r="52" spans="1:6" ht="17" thickBot="1">
      <c r="A52" s="391"/>
      <c r="B52" s="391"/>
      <c r="C52" s="398"/>
      <c r="D52" s="200"/>
      <c r="E52" s="201"/>
      <c r="F52" s="393"/>
    </row>
    <row r="53" spans="1:6" ht="18" thickTop="1" thickBot="1">
      <c r="A53" s="394"/>
      <c r="B53" s="399"/>
      <c r="C53" s="398"/>
      <c r="D53" s="400"/>
      <c r="E53" s="203"/>
      <c r="F53" s="393"/>
    </row>
    <row r="54" spans="1:6" ht="19" thickBot="1">
      <c r="A54" s="396"/>
      <c r="B54" s="180"/>
      <c r="C54" s="398"/>
      <c r="D54" s="401"/>
      <c r="E54" s="205"/>
      <c r="F54" s="393"/>
    </row>
    <row r="55" spans="1:6" ht="17" thickBot="1">
      <c r="A55" s="396"/>
      <c r="B55" s="180"/>
      <c r="C55" s="398"/>
      <c r="D55" s="402"/>
      <c r="E55" s="207"/>
      <c r="F55" s="393"/>
    </row>
    <row r="56" spans="1:6" ht="15" thickBot="1">
      <c r="A56" s="396"/>
      <c r="B56" s="180"/>
      <c r="C56" s="398"/>
      <c r="D56" s="393"/>
      <c r="E56" s="393"/>
      <c r="F56" s="393"/>
    </row>
    <row r="57" spans="1:6" ht="15" thickBot="1">
      <c r="A57" s="396"/>
      <c r="B57" s="180"/>
      <c r="C57" s="398"/>
      <c r="D57" s="393"/>
      <c r="E57" s="393"/>
      <c r="F57" s="393"/>
    </row>
    <row r="58" spans="1:6" ht="15" thickBot="1">
      <c r="A58" s="396"/>
      <c r="B58" s="180"/>
      <c r="C58" s="398"/>
      <c r="D58" s="393"/>
      <c r="E58" s="393"/>
      <c r="F58" s="393"/>
    </row>
    <row r="59" spans="1:6" ht="15" thickBot="1">
      <c r="A59" s="396"/>
      <c r="B59" s="180"/>
      <c r="C59" s="398"/>
      <c r="D59" s="393"/>
      <c r="E59" s="393"/>
      <c r="F59" s="393"/>
    </row>
    <row r="60" spans="1:6" ht="15" thickBot="1">
      <c r="A60" s="396"/>
      <c r="B60" s="180"/>
      <c r="C60" s="398"/>
      <c r="D60" s="393"/>
      <c r="E60" s="393"/>
      <c r="F60" s="393"/>
    </row>
    <row r="61" spans="1:6" ht="15" thickBot="1">
      <c r="A61" s="393"/>
      <c r="B61" s="393"/>
      <c r="C61" s="398"/>
      <c r="D61" s="393"/>
      <c r="E61" s="393"/>
      <c r="F61" s="393"/>
    </row>
    <row r="62" spans="1:6" ht="17" thickBot="1">
      <c r="A62" s="394"/>
      <c r="B62" s="403"/>
      <c r="C62" s="398"/>
      <c r="D62" s="200"/>
      <c r="E62" s="201"/>
      <c r="F62" s="393"/>
    </row>
    <row r="63" spans="1:6" ht="17" thickBot="1">
      <c r="A63" s="396"/>
      <c r="B63" s="147"/>
      <c r="C63" s="398"/>
      <c r="D63" s="400"/>
      <c r="E63" s="203"/>
      <c r="F63" s="393"/>
    </row>
    <row r="64" spans="1:6" ht="19" thickBot="1">
      <c r="A64" s="396"/>
      <c r="B64" s="147"/>
      <c r="C64" s="398"/>
      <c r="D64" s="401"/>
      <c r="E64" s="205"/>
      <c r="F64" s="393"/>
    </row>
    <row r="65" spans="1:6" ht="17" thickBot="1">
      <c r="A65" s="398"/>
      <c r="B65" s="393"/>
      <c r="C65" s="398"/>
      <c r="D65" s="402"/>
      <c r="E65" s="207"/>
      <c r="F65" s="393"/>
    </row>
  </sheetData>
  <phoneticPr fontId="23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6695-2434-AA40-9348-02C67920AFFE}">
  <dimension ref="A1:M32"/>
  <sheetViews>
    <sheetView zoomScale="118" workbookViewId="0">
      <selection activeCell="C53" sqref="C53"/>
    </sheetView>
  </sheetViews>
  <sheetFormatPr baseColWidth="10" defaultColWidth="9" defaultRowHeight="14"/>
  <cols>
    <col min="2" max="2" width="20.1640625" customWidth="1"/>
    <col min="3" max="3" width="16.33203125" style="250" customWidth="1"/>
    <col min="4" max="4" width="12.5" style="250" customWidth="1"/>
    <col min="5" max="5" width="9.5" style="250" bestFit="1" customWidth="1"/>
    <col min="6" max="6" width="21.1640625" style="250" bestFit="1" customWidth="1"/>
    <col min="7" max="7" width="21.83203125" style="250" customWidth="1"/>
    <col min="8" max="8" width="10.5" style="250" bestFit="1" customWidth="1"/>
    <col min="9" max="9" width="15.6640625" style="250" customWidth="1"/>
    <col min="10" max="12" width="10.5" style="250" bestFit="1" customWidth="1"/>
    <col min="13" max="13" width="13.6640625" style="25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135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0.5</v>
      </c>
      <c r="J3" s="12">
        <v>0.4</v>
      </c>
      <c r="K3" s="12">
        <v>0.3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8212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52" t="s">
        <v>6</v>
      </c>
      <c r="F6" s="252"/>
      <c r="G6" s="25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53" t="s">
        <v>12</v>
      </c>
      <c r="C10" s="30">
        <v>2024</v>
      </c>
      <c r="D10" s="254">
        <v>2025</v>
      </c>
      <c r="E10" s="254">
        <v>2026</v>
      </c>
      <c r="F10" s="254">
        <v>2027</v>
      </c>
      <c r="G10" s="254">
        <v>2028</v>
      </c>
      <c r="H10" s="254">
        <v>2029</v>
      </c>
      <c r="I10" s="254">
        <v>2030</v>
      </c>
      <c r="J10" s="254">
        <v>2031</v>
      </c>
      <c r="K10" s="254">
        <v>2032</v>
      </c>
      <c r="L10" s="254">
        <v>2033</v>
      </c>
      <c r="M10" s="254">
        <v>2034</v>
      </c>
    </row>
    <row r="11" spans="1:13" ht="18" thickBot="1">
      <c r="A11" s="2"/>
      <c r="B11" s="7" t="s">
        <v>13</v>
      </c>
      <c r="C11" s="32">
        <v>1432</v>
      </c>
      <c r="D11" s="33">
        <f>C11*(1+H3)</f>
        <v>2148</v>
      </c>
      <c r="E11" s="33">
        <f>D11*(1+$I$3)</f>
        <v>3222</v>
      </c>
      <c r="F11" s="33">
        <f>E11*(1+$J$3)</f>
        <v>4510.7999999999993</v>
      </c>
      <c r="G11" s="33">
        <f>F11*(1+$K$3)</f>
        <v>5864.0399999999991</v>
      </c>
      <c r="H11" s="33">
        <f>G11*(1+$L$3)</f>
        <v>7036.847999999999</v>
      </c>
      <c r="I11" s="33">
        <f>H11*(1+$C$8)</f>
        <v>8092.3751999999986</v>
      </c>
      <c r="J11" s="33">
        <f>I11*(1+$C$8)</f>
        <v>9306.2314799999986</v>
      </c>
      <c r="K11" s="33">
        <f>J11*(1+$C$8)</f>
        <v>10702.166201999997</v>
      </c>
      <c r="L11" s="33">
        <f>K11*(1+$C$8)</f>
        <v>12307.491132299996</v>
      </c>
      <c r="M11" s="33">
        <f>L11*(1+$C$8)</f>
        <v>14153.614802144994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193432.73562931488</v>
      </c>
    </row>
    <row r="13" spans="1:13" ht="20" thickBot="1">
      <c r="A13" s="2"/>
      <c r="B13" s="35" t="s">
        <v>15</v>
      </c>
      <c r="C13" s="34"/>
      <c r="D13" s="33">
        <f t="shared" ref="D13:L13" si="0">D11</f>
        <v>2148</v>
      </c>
      <c r="E13" s="33">
        <f t="shared" si="0"/>
        <v>3222</v>
      </c>
      <c r="F13" s="33">
        <f t="shared" si="0"/>
        <v>4510.7999999999993</v>
      </c>
      <c r="G13" s="33">
        <f t="shared" si="0"/>
        <v>5864.0399999999991</v>
      </c>
      <c r="H13" s="33">
        <f t="shared" si="0"/>
        <v>7036.847999999999</v>
      </c>
      <c r="I13" s="33">
        <f t="shared" si="0"/>
        <v>8092.3751999999986</v>
      </c>
      <c r="J13" s="33">
        <f t="shared" si="0"/>
        <v>9306.2314799999986</v>
      </c>
      <c r="K13" s="33">
        <f t="shared" si="0"/>
        <v>10702.166201999997</v>
      </c>
      <c r="L13" s="33">
        <f t="shared" si="0"/>
        <v>12307.491132299996</v>
      </c>
      <c r="M13" s="60">
        <f>M11+M12</f>
        <v>207586.35043145987</v>
      </c>
    </row>
    <row r="14" spans="1:13" ht="15" thickBot="1">
      <c r="A14" s="2"/>
      <c r="B14" s="36" t="s">
        <v>35</v>
      </c>
      <c r="C14" s="37">
        <f>C11/J5</f>
        <v>0.17437895762299074</v>
      </c>
      <c r="D14" s="37">
        <f>C14*(1+$H$3)/(1+$H$4)</f>
        <v>0.20120648956498932</v>
      </c>
      <c r="E14" s="37">
        <f>D14*(1+$I$3)/(1+$I$4)</f>
        <v>0.23216133411344922</v>
      </c>
      <c r="F14" s="37">
        <f>E14*(1+$J$3)/(1+$J$4)</f>
        <v>0.27085488979902411</v>
      </c>
      <c r="G14" s="37">
        <f>F14*(1+$K$3)/(1+$K$4)</f>
        <v>0.29342613061560946</v>
      </c>
      <c r="H14" s="37">
        <f>G14*(1+$L$3)/(1+$L$4)</f>
        <v>0.29342613061560946</v>
      </c>
      <c r="I14" s="61">
        <f>H14*(1+$C$8)/(1+$J$8)</f>
        <v>0.30676368200722803</v>
      </c>
      <c r="J14" s="61">
        <f>I14*(1+$C$8)/(1+$J$8)</f>
        <v>0.32070748573482927</v>
      </c>
      <c r="K14" s="61">
        <f>J14*(1+$C$8)/(1+$J$8)</f>
        <v>0.33528509872277601</v>
      </c>
      <c r="L14" s="61">
        <f>K14*(1+$C$8)/(1+$J$8)</f>
        <v>0.35052533048290213</v>
      </c>
      <c r="M14" s="61">
        <f>L14*(1+$C$8)/(1+$J$8)</f>
        <v>0.36645830005030672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53" t="s">
        <v>16</v>
      </c>
      <c r="C16" s="254"/>
      <c r="D16" s="40"/>
      <c r="E16" s="255" t="s">
        <v>80</v>
      </c>
      <c r="F16" s="256">
        <f>C22</f>
        <v>91.321403382649919</v>
      </c>
      <c r="G16" s="25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115968.35983465404</v>
      </c>
      <c r="D17" s="40"/>
      <c r="E17" s="256"/>
      <c r="F17" s="256"/>
      <c r="G17" s="25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4895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1141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54">
        <f>C17+C18-C19</f>
        <v>119722.35983465404</v>
      </c>
      <c r="D20" s="47"/>
      <c r="E20" s="257" t="s">
        <v>22</v>
      </c>
      <c r="F20" s="258">
        <f>C23</f>
        <v>108.92</v>
      </c>
      <c r="G20" s="25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1311</v>
      </c>
      <c r="D21" s="47"/>
      <c r="E21" s="257"/>
      <c r="F21" s="258"/>
      <c r="G21" s="25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91.321403382649919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108.92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-0.1615736009672244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49" t="s">
        <v>36</v>
      </c>
    </row>
    <row r="30" spans="1:13">
      <c r="B30" s="251"/>
    </row>
    <row r="31" spans="1:13">
      <c r="B31" s="251"/>
    </row>
    <row r="32" spans="1:13">
      <c r="B32" s="251"/>
    </row>
  </sheetData>
  <phoneticPr fontId="4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2"/>
  <sheetViews>
    <sheetView topLeftCell="A4" zoomScale="115" workbookViewId="0">
      <selection activeCell="I21" sqref="I21"/>
    </sheetView>
  </sheetViews>
  <sheetFormatPr baseColWidth="10" defaultColWidth="9" defaultRowHeight="14"/>
  <cols>
    <col min="2" max="2" width="20.1640625" customWidth="1"/>
    <col min="3" max="3" width="16.33203125" style="133" customWidth="1"/>
    <col min="4" max="4" width="12.5" style="133" customWidth="1"/>
    <col min="5" max="5" width="14.6640625" style="133" customWidth="1"/>
    <col min="6" max="6" width="10.5" style="133" customWidth="1"/>
    <col min="7" max="7" width="21.83203125" style="133" customWidth="1"/>
    <col min="8" max="8" width="12" style="133" customWidth="1"/>
    <col min="9" max="9" width="15.6640625" style="133" customWidth="1"/>
    <col min="10" max="10" width="11.33203125" style="133" customWidth="1"/>
    <col min="11" max="11" width="11.1640625" style="133" customWidth="1"/>
    <col min="12" max="12" width="13" style="133" customWidth="1"/>
    <col min="13" max="13" width="13.1640625" style="133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92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0.18</v>
      </c>
      <c r="J3" s="12">
        <v>0.18</v>
      </c>
      <c r="K3" s="12">
        <v>0.15</v>
      </c>
      <c r="L3" s="12">
        <v>0.12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0.18</v>
      </c>
      <c r="I4" s="12">
        <v>0.15</v>
      </c>
      <c r="J4" s="12">
        <v>0.15</v>
      </c>
      <c r="K4" s="12">
        <v>0.13</v>
      </c>
      <c r="L4" s="12">
        <v>0.15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245122</v>
      </c>
      <c r="K5" s="6"/>
      <c r="L5" s="6"/>
      <c r="M5" s="6"/>
    </row>
    <row r="6" spans="1:13" ht="35" thickBot="1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134" t="s">
        <v>12</v>
      </c>
      <c r="C10" s="30">
        <v>2022</v>
      </c>
      <c r="D10" s="135">
        <v>2023</v>
      </c>
      <c r="E10" s="135">
        <v>2024</v>
      </c>
      <c r="F10" s="135">
        <v>2025</v>
      </c>
      <c r="G10" s="135">
        <v>2026</v>
      </c>
      <c r="H10" s="135">
        <v>2027</v>
      </c>
      <c r="I10" s="135">
        <v>2028</v>
      </c>
      <c r="J10" s="135">
        <v>2029</v>
      </c>
      <c r="K10" s="135">
        <v>2030</v>
      </c>
      <c r="L10" s="135">
        <v>2031</v>
      </c>
      <c r="M10" s="135">
        <v>2032</v>
      </c>
    </row>
    <row r="11" spans="1:13" ht="18" thickBot="1">
      <c r="A11" s="2"/>
      <c r="B11" s="7" t="s">
        <v>13</v>
      </c>
      <c r="C11" s="32">
        <v>74071</v>
      </c>
      <c r="D11" s="33">
        <f>C11*(1+H3)</f>
        <v>88885.2</v>
      </c>
      <c r="E11" s="33">
        <f>D11*(1+$I$3)</f>
        <v>104884.53599999999</v>
      </c>
      <c r="F11" s="33">
        <f>E11*(1+$J$3)</f>
        <v>123763.75247999998</v>
      </c>
      <c r="G11" s="33">
        <f>F11*(1+$K$3)</f>
        <v>142328.31535199998</v>
      </c>
      <c r="H11" s="33">
        <f>G11*(1+$L$3)</f>
        <v>159407.71319424</v>
      </c>
      <c r="I11" s="33">
        <f>H11*(1+$C$8)</f>
        <v>175348.48451366401</v>
      </c>
      <c r="J11" s="33">
        <f>I11*(1+$C$8)</f>
        <v>192883.33296503042</v>
      </c>
      <c r="K11" s="33">
        <f>J11*(1+$C$8)</f>
        <v>212171.66626153348</v>
      </c>
      <c r="L11" s="33">
        <f>K11*(1+$C$8)</f>
        <v>233388.83288768685</v>
      </c>
      <c r="M11" s="33">
        <f>L11*(1+$C$8)</f>
        <v>256727.71617645555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3508612.1210782249</v>
      </c>
    </row>
    <row r="13" spans="1:13" ht="20" thickBot="1">
      <c r="A13" s="2"/>
      <c r="B13" s="35" t="s">
        <v>15</v>
      </c>
      <c r="C13" s="34"/>
      <c r="D13" s="33">
        <f t="shared" ref="D13:L13" si="0">D11</f>
        <v>88885.2</v>
      </c>
      <c r="E13" s="33">
        <f t="shared" si="0"/>
        <v>104884.53599999999</v>
      </c>
      <c r="F13" s="33">
        <f t="shared" si="0"/>
        <v>123763.75247999998</v>
      </c>
      <c r="G13" s="33">
        <f t="shared" si="0"/>
        <v>142328.31535199998</v>
      </c>
      <c r="H13" s="33">
        <f t="shared" si="0"/>
        <v>159407.71319424</v>
      </c>
      <c r="I13" s="33">
        <f t="shared" si="0"/>
        <v>175348.48451366401</v>
      </c>
      <c r="J13" s="33">
        <f t="shared" si="0"/>
        <v>192883.33296503042</v>
      </c>
      <c r="K13" s="33">
        <f t="shared" si="0"/>
        <v>212171.66626153348</v>
      </c>
      <c r="L13" s="33">
        <f t="shared" si="0"/>
        <v>233388.83288768685</v>
      </c>
      <c r="M13" s="60">
        <f>M11+M12</f>
        <v>3765339.8372546802</v>
      </c>
    </row>
    <row r="14" spans="1:13" ht="15" thickBot="1">
      <c r="A14" s="2"/>
      <c r="B14" s="36" t="s">
        <v>35</v>
      </c>
      <c r="C14" s="37">
        <f>C11/J5</f>
        <v>0.30218013886962408</v>
      </c>
      <c r="D14" s="37">
        <f>C14*(1+$H$3)/(1+$H$4)</f>
        <v>0.30730183613860079</v>
      </c>
      <c r="E14" s="37">
        <f>D14*(1+$I$3)/(1+$I$4)</f>
        <v>0.31531840577699904</v>
      </c>
      <c r="F14" s="37">
        <f>E14*(1+$J$3)/(1+$J$4)</f>
        <v>0.32354410331900774</v>
      </c>
      <c r="G14" s="37">
        <f>F14*(1+$K$3)/(1+$K$4)</f>
        <v>0.32927054762553887</v>
      </c>
      <c r="H14" s="37">
        <f>G14*(1+$L$3)/(1+$L$4)</f>
        <v>0.32068088116574228</v>
      </c>
      <c r="I14" s="61">
        <f>H14*(1+$C$8)/(1+$J$8)</f>
        <v>0.32068088116574228</v>
      </c>
      <c r="J14" s="61">
        <f>I14*(1+$C$8)/(1+$J$8)</f>
        <v>0.32068088116574228</v>
      </c>
      <c r="K14" s="61">
        <f>J14*(1+$C$8)/(1+$J$8)</f>
        <v>0.32068088116574228</v>
      </c>
      <c r="L14" s="61">
        <f>K14*(1+$C$8)/(1+$J$8)</f>
        <v>0.32068088116574228</v>
      </c>
      <c r="M14" s="61">
        <f>L14*(1+$C$8)/(1+$J$8)</f>
        <v>0.32068088116574228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thickBot="1">
      <c r="A16" s="2"/>
      <c r="B16" s="456" t="s">
        <v>16</v>
      </c>
      <c r="C16" s="457"/>
      <c r="D16" s="40"/>
      <c r="E16" s="458" t="s">
        <v>80</v>
      </c>
      <c r="F16" s="459">
        <f>C22</f>
        <v>309.63979155026215</v>
      </c>
      <c r="G16" s="459"/>
      <c r="H16" s="6"/>
      <c r="I16" s="6"/>
      <c r="J16" s="6"/>
      <c r="K16" s="6"/>
      <c r="L16" s="6"/>
      <c r="M16" s="6"/>
    </row>
    <row r="17" spans="1:13" ht="18" thickBot="1">
      <c r="A17" s="2"/>
      <c r="B17" s="41" t="s">
        <v>18</v>
      </c>
      <c r="C17" s="42">
        <f>NPV(C6,D13:M13)</f>
        <v>2304283.6030889079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75543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67127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thickBot="1">
      <c r="A20" s="2"/>
      <c r="B20" s="46" t="s">
        <v>21</v>
      </c>
      <c r="C20" s="135">
        <f>C17+C18-C19</f>
        <v>2312699.6030889079</v>
      </c>
      <c r="D20" s="47"/>
      <c r="E20" s="460" t="s">
        <v>22</v>
      </c>
      <c r="F20" s="461">
        <f>C23</f>
        <v>422.92</v>
      </c>
      <c r="G20" s="461"/>
      <c r="H20" s="6"/>
      <c r="I20" s="6"/>
      <c r="J20" s="6"/>
      <c r="K20" s="6"/>
      <c r="L20" s="6"/>
      <c r="M20" s="6"/>
    </row>
    <row r="21" spans="1:13" ht="18" thickBot="1">
      <c r="A21" s="2"/>
      <c r="B21" s="48" t="s">
        <v>23</v>
      </c>
      <c r="C21" s="49">
        <v>7469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309.63979155026215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422.92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-0.2678525689249453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" right="0.7" top="0.75" bottom="0.75" header="0.3" footer="0.3"/>
  <pageSetup paperSize="9" orientation="portrait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A32B-AAD1-6244-9F8B-58A9BA837AD9}">
  <dimension ref="A1:M32"/>
  <sheetViews>
    <sheetView topLeftCell="A2" zoomScale="104" workbookViewId="0">
      <selection activeCell="O44" sqref="A1:XFD1048576"/>
    </sheetView>
  </sheetViews>
  <sheetFormatPr baseColWidth="10" defaultColWidth="9" defaultRowHeight="14"/>
  <cols>
    <col min="2" max="2" width="20.1640625" customWidth="1"/>
    <col min="3" max="3" width="16.33203125" style="250" customWidth="1"/>
    <col min="4" max="4" width="12.5" style="250" customWidth="1"/>
    <col min="5" max="5" width="9.5" style="250" bestFit="1" customWidth="1"/>
    <col min="6" max="6" width="21.1640625" style="250" bestFit="1" customWidth="1"/>
    <col min="7" max="7" width="21.83203125" style="250" customWidth="1"/>
    <col min="8" max="8" width="10.5" style="250" bestFit="1" customWidth="1"/>
    <col min="9" max="9" width="15.6640625" style="250" customWidth="1"/>
    <col min="10" max="12" width="10.5" style="250" bestFit="1" customWidth="1"/>
    <col min="13" max="13" width="13.6640625" style="25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136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0.5</v>
      </c>
      <c r="J3" s="12">
        <v>0.4</v>
      </c>
      <c r="K3" s="12">
        <v>0.3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8212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52" t="s">
        <v>6</v>
      </c>
      <c r="F6" s="252"/>
      <c r="G6" s="25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53" t="s">
        <v>12</v>
      </c>
      <c r="C10" s="30">
        <v>2024</v>
      </c>
      <c r="D10" s="254">
        <v>2025</v>
      </c>
      <c r="E10" s="254">
        <v>2026</v>
      </c>
      <c r="F10" s="254">
        <v>2027</v>
      </c>
      <c r="G10" s="254">
        <v>2028</v>
      </c>
      <c r="H10" s="254">
        <v>2029</v>
      </c>
      <c r="I10" s="254">
        <v>2030</v>
      </c>
      <c r="J10" s="254">
        <v>2031</v>
      </c>
      <c r="K10" s="254">
        <v>2032</v>
      </c>
      <c r="L10" s="254">
        <v>2033</v>
      </c>
      <c r="M10" s="254">
        <v>2034</v>
      </c>
    </row>
    <row r="11" spans="1:13" ht="18" thickBot="1">
      <c r="A11" s="2"/>
      <c r="B11" s="7" t="s">
        <v>13</v>
      </c>
      <c r="C11" s="32">
        <v>1432</v>
      </c>
      <c r="D11" s="33">
        <f>C11*(1+H3)</f>
        <v>2148</v>
      </c>
      <c r="E11" s="33">
        <f>D11*(1+$I$3)</f>
        <v>3222</v>
      </c>
      <c r="F11" s="33">
        <f>E11*(1+$J$3)</f>
        <v>4510.7999999999993</v>
      </c>
      <c r="G11" s="33">
        <f>F11*(1+$K$3)</f>
        <v>5864.0399999999991</v>
      </c>
      <c r="H11" s="33">
        <f>G11*(1+$L$3)</f>
        <v>7036.847999999999</v>
      </c>
      <c r="I11" s="33">
        <f>H11*(1+$C$8)</f>
        <v>8092.3751999999986</v>
      </c>
      <c r="J11" s="33">
        <f>I11*(1+$C$8)</f>
        <v>9306.2314799999986</v>
      </c>
      <c r="K11" s="33">
        <f>J11*(1+$C$8)</f>
        <v>10702.166201999997</v>
      </c>
      <c r="L11" s="33">
        <f>K11*(1+$C$8)</f>
        <v>12307.491132299996</v>
      </c>
      <c r="M11" s="33">
        <f>L11*(1+$C$8)</f>
        <v>14153.614802144994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193432.73562931488</v>
      </c>
    </row>
    <row r="13" spans="1:13" ht="20" thickBot="1">
      <c r="A13" s="2"/>
      <c r="B13" s="35" t="s">
        <v>15</v>
      </c>
      <c r="C13" s="34"/>
      <c r="D13" s="33">
        <f t="shared" ref="D13:L13" si="0">D11</f>
        <v>2148</v>
      </c>
      <c r="E13" s="33">
        <f t="shared" si="0"/>
        <v>3222</v>
      </c>
      <c r="F13" s="33">
        <f t="shared" si="0"/>
        <v>4510.7999999999993</v>
      </c>
      <c r="G13" s="33">
        <f t="shared" si="0"/>
        <v>5864.0399999999991</v>
      </c>
      <c r="H13" s="33">
        <f t="shared" si="0"/>
        <v>7036.847999999999</v>
      </c>
      <c r="I13" s="33">
        <f t="shared" si="0"/>
        <v>8092.3751999999986</v>
      </c>
      <c r="J13" s="33">
        <f t="shared" si="0"/>
        <v>9306.2314799999986</v>
      </c>
      <c r="K13" s="33">
        <f t="shared" si="0"/>
        <v>10702.166201999997</v>
      </c>
      <c r="L13" s="33">
        <f t="shared" si="0"/>
        <v>12307.491132299996</v>
      </c>
      <c r="M13" s="60">
        <f>M11+M12</f>
        <v>207586.35043145987</v>
      </c>
    </row>
    <row r="14" spans="1:13" ht="15" thickBot="1">
      <c r="A14" s="2"/>
      <c r="B14" s="36" t="s">
        <v>35</v>
      </c>
      <c r="C14" s="37">
        <f>C11/J5</f>
        <v>0.17437895762299074</v>
      </c>
      <c r="D14" s="37">
        <f>C14*(1+$H$3)/(1+$H$4)</f>
        <v>0.20120648956498932</v>
      </c>
      <c r="E14" s="37">
        <f>D14*(1+$I$3)/(1+$I$4)</f>
        <v>0.23216133411344922</v>
      </c>
      <c r="F14" s="37">
        <f>E14*(1+$J$3)/(1+$J$4)</f>
        <v>0.27085488979902411</v>
      </c>
      <c r="G14" s="37">
        <f>F14*(1+$K$3)/(1+$K$4)</f>
        <v>0.29342613061560946</v>
      </c>
      <c r="H14" s="37">
        <f>G14*(1+$L$3)/(1+$L$4)</f>
        <v>0.29342613061560946</v>
      </c>
      <c r="I14" s="61">
        <f>H14*(1+$C$8)/(1+$J$8)</f>
        <v>0.30676368200722803</v>
      </c>
      <c r="J14" s="61">
        <f>I14*(1+$C$8)/(1+$J$8)</f>
        <v>0.32070748573482927</v>
      </c>
      <c r="K14" s="61">
        <f>J14*(1+$C$8)/(1+$J$8)</f>
        <v>0.33528509872277601</v>
      </c>
      <c r="L14" s="61">
        <f>K14*(1+$C$8)/(1+$J$8)</f>
        <v>0.35052533048290213</v>
      </c>
      <c r="M14" s="61">
        <f>L14*(1+$C$8)/(1+$J$8)</f>
        <v>0.36645830005030672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53" t="s">
        <v>16</v>
      </c>
      <c r="C16" s="254"/>
      <c r="D16" s="40"/>
      <c r="E16" s="255" t="s">
        <v>80</v>
      </c>
      <c r="F16" s="256">
        <f>C22</f>
        <v>58.089451642238735</v>
      </c>
      <c r="G16" s="25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115968.35983465404</v>
      </c>
      <c r="D17" s="40"/>
      <c r="E17" s="256"/>
      <c r="F17" s="256"/>
      <c r="G17" s="25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4895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1141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54">
        <f>C17+C18-C19</f>
        <v>119722.35983465404</v>
      </c>
      <c r="D20" s="47"/>
      <c r="E20" s="257" t="s">
        <v>22</v>
      </c>
      <c r="F20" s="258">
        <f>C23</f>
        <v>108.92</v>
      </c>
      <c r="G20" s="25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2061</v>
      </c>
      <c r="D21" s="47"/>
      <c r="E21" s="257"/>
      <c r="F21" s="258"/>
      <c r="G21" s="25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58.089451642238735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108.92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-0.46667782186707002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49" t="s">
        <v>36</v>
      </c>
    </row>
    <row r="30" spans="1:13">
      <c r="B30" s="251"/>
    </row>
    <row r="31" spans="1:13">
      <c r="B31" s="251"/>
    </row>
    <row r="32" spans="1:13">
      <c r="B32" s="251"/>
    </row>
  </sheetData>
  <phoneticPr fontId="23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E4051-19E3-2C45-B0D5-12265941070D}">
  <dimension ref="A1:M32"/>
  <sheetViews>
    <sheetView zoomScale="114" workbookViewId="0">
      <selection activeCell="C50" sqref="C50"/>
    </sheetView>
  </sheetViews>
  <sheetFormatPr baseColWidth="10" defaultColWidth="9" defaultRowHeight="14"/>
  <cols>
    <col min="2" max="2" width="20.1640625" customWidth="1"/>
    <col min="3" max="3" width="16.33203125" style="260" customWidth="1"/>
    <col min="4" max="4" width="12.5" style="260" customWidth="1"/>
    <col min="5" max="5" width="9.5" style="260" bestFit="1" customWidth="1"/>
    <col min="6" max="6" width="21.1640625" style="260" bestFit="1" customWidth="1"/>
    <col min="7" max="7" width="21.83203125" style="260" customWidth="1"/>
    <col min="8" max="8" width="10.5" style="260" bestFit="1" customWidth="1"/>
    <col min="9" max="9" width="15.6640625" style="260" customWidth="1"/>
    <col min="10" max="12" width="10.5" style="260" bestFit="1" customWidth="1"/>
    <col min="13" max="13" width="13.6640625" style="26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137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0.2</v>
      </c>
      <c r="K3" s="12">
        <v>0.2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1383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62" t="s">
        <v>6</v>
      </c>
      <c r="F6" s="262"/>
      <c r="G6" s="26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63" t="s">
        <v>12</v>
      </c>
      <c r="C10" s="30">
        <v>2024</v>
      </c>
      <c r="D10" s="264">
        <v>2025</v>
      </c>
      <c r="E10" s="264">
        <v>2026</v>
      </c>
      <c r="F10" s="264">
        <v>2027</v>
      </c>
      <c r="G10" s="264">
        <v>2028</v>
      </c>
      <c r="H10" s="264">
        <v>2029</v>
      </c>
      <c r="I10" s="264">
        <v>2030</v>
      </c>
      <c r="J10" s="264">
        <v>2031</v>
      </c>
      <c r="K10" s="264">
        <v>2032</v>
      </c>
      <c r="L10" s="264">
        <v>2033</v>
      </c>
      <c r="M10" s="264">
        <v>2034</v>
      </c>
    </row>
    <row r="11" spans="1:13" ht="18" thickBot="1">
      <c r="A11" s="2"/>
      <c r="B11" s="7" t="s">
        <v>13</v>
      </c>
      <c r="C11" s="32">
        <v>260</v>
      </c>
      <c r="D11" s="33">
        <f>C11*(1+H3)</f>
        <v>312</v>
      </c>
      <c r="E11" s="33">
        <f>D11*(1+$I$3)</f>
        <v>374.4</v>
      </c>
      <c r="F11" s="33">
        <f>E11*(1+$J$3)</f>
        <v>449.28</v>
      </c>
      <c r="G11" s="33">
        <f>F11*(1+$K$3)</f>
        <v>539.13599999999997</v>
      </c>
      <c r="H11" s="33">
        <f>G11*(1+$L$3)</f>
        <v>593.04960000000005</v>
      </c>
      <c r="I11" s="33">
        <f>H11*(1+$C$8)</f>
        <v>652.35456000000011</v>
      </c>
      <c r="J11" s="33">
        <f>I11*(1+$C$8)</f>
        <v>717.59001600000022</v>
      </c>
      <c r="K11" s="33">
        <f>J11*(1+$C$8)</f>
        <v>789.34901760000025</v>
      </c>
      <c r="L11" s="33">
        <f>K11*(1+$C$8)</f>
        <v>868.28391936000037</v>
      </c>
      <c r="M11" s="33">
        <f>L11*(1+$C$8)</f>
        <v>955.11231129600048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13053.201587712003</v>
      </c>
    </row>
    <row r="13" spans="1:13" ht="20" thickBot="1">
      <c r="A13" s="2"/>
      <c r="B13" s="35" t="s">
        <v>15</v>
      </c>
      <c r="C13" s="34"/>
      <c r="D13" s="33">
        <f t="shared" ref="D13:L13" si="0">D11</f>
        <v>312</v>
      </c>
      <c r="E13" s="33">
        <f t="shared" si="0"/>
        <v>374.4</v>
      </c>
      <c r="F13" s="33">
        <f t="shared" si="0"/>
        <v>449.28</v>
      </c>
      <c r="G13" s="33">
        <f t="shared" si="0"/>
        <v>539.13599999999997</v>
      </c>
      <c r="H13" s="33">
        <f t="shared" si="0"/>
        <v>593.04960000000005</v>
      </c>
      <c r="I13" s="33">
        <f t="shared" si="0"/>
        <v>652.35456000000011</v>
      </c>
      <c r="J13" s="33">
        <f t="shared" si="0"/>
        <v>717.59001600000022</v>
      </c>
      <c r="K13" s="33">
        <f t="shared" si="0"/>
        <v>789.34901760000025</v>
      </c>
      <c r="L13" s="33">
        <f t="shared" si="0"/>
        <v>868.28391936000037</v>
      </c>
      <c r="M13" s="60">
        <f>M11+M12</f>
        <v>14008.313899008004</v>
      </c>
    </row>
    <row r="14" spans="1:13" ht="15" thickBot="1">
      <c r="A14" s="2"/>
      <c r="B14" s="36" t="s">
        <v>35</v>
      </c>
      <c r="C14" s="37">
        <f>C11/J5</f>
        <v>0.18799710773680406</v>
      </c>
      <c r="D14" s="37">
        <f>C14*(1+$H$3)/(1+$H$4)</f>
        <v>0.17353579175704989</v>
      </c>
      <c r="E14" s="37">
        <f>D14*(1+$I$3)/(1+$I$4)</f>
        <v>0.16018688469881529</v>
      </c>
      <c r="F14" s="37">
        <f>E14*(1+$J$3)/(1+$J$4)</f>
        <v>0.16018688469881529</v>
      </c>
      <c r="G14" s="37">
        <f>F14*(1+$K$3)/(1+$K$4)</f>
        <v>0.16018688469881529</v>
      </c>
      <c r="H14" s="37">
        <f>G14*(1+$L$3)/(1+$L$4)</f>
        <v>0.14683797764058071</v>
      </c>
      <c r="I14" s="61">
        <f>H14*(1+$C$8)/(1+$J$8)</f>
        <v>0.14683797764058071</v>
      </c>
      <c r="J14" s="61">
        <f>I14*(1+$C$8)/(1+$J$8)</f>
        <v>0.14683797764058071</v>
      </c>
      <c r="K14" s="61">
        <f>J14*(1+$C$8)/(1+$J$8)</f>
        <v>0.14683797764058071</v>
      </c>
      <c r="L14" s="61">
        <f>K14*(1+$C$8)/(1+$J$8)</f>
        <v>0.14683797764058071</v>
      </c>
      <c r="M14" s="61">
        <f>L14*(1+$C$8)/(1+$J$8)</f>
        <v>0.14683797764058071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63" t="s">
        <v>16</v>
      </c>
      <c r="C16" s="264"/>
      <c r="D16" s="40"/>
      <c r="E16" s="265" t="s">
        <v>80</v>
      </c>
      <c r="F16" s="266">
        <f>C22</f>
        <v>17.959934575006894</v>
      </c>
      <c r="G16" s="26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8540.8428386039159</v>
      </c>
      <c r="D17" s="40"/>
      <c r="E17" s="266"/>
      <c r="F17" s="266"/>
      <c r="G17" s="26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1743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82.6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64">
        <f>C17+C18-C19</f>
        <v>10201.242838603916</v>
      </c>
      <c r="D20" s="47"/>
      <c r="E20" s="267" t="s">
        <v>22</v>
      </c>
      <c r="F20" s="268">
        <f>C23</f>
        <v>14.18</v>
      </c>
      <c r="G20" s="26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568</v>
      </c>
      <c r="D21" s="47"/>
      <c r="E21" s="267"/>
      <c r="F21" s="268"/>
      <c r="G21" s="26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17.959934575006894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14.18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0.2665680236253099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59" t="s">
        <v>36</v>
      </c>
    </row>
    <row r="30" spans="1:13">
      <c r="B30" s="261"/>
    </row>
    <row r="31" spans="1:13">
      <c r="B31" s="261"/>
    </row>
    <row r="32" spans="1:13">
      <c r="B32" s="261"/>
    </row>
  </sheetData>
  <phoneticPr fontId="23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D562-859C-6D46-8795-24D273BB1515}">
  <dimension ref="A1:M32"/>
  <sheetViews>
    <sheetView workbookViewId="0">
      <selection activeCell="J24" sqref="J24"/>
    </sheetView>
  </sheetViews>
  <sheetFormatPr baseColWidth="10" defaultColWidth="9" defaultRowHeight="14"/>
  <cols>
    <col min="2" max="2" width="20.1640625" customWidth="1"/>
    <col min="3" max="3" width="16.33203125" style="341" customWidth="1"/>
    <col min="4" max="4" width="12.5" style="341" customWidth="1"/>
    <col min="5" max="5" width="9.5" style="341" bestFit="1" customWidth="1"/>
    <col min="6" max="6" width="21.1640625" style="341" bestFit="1" customWidth="1"/>
    <col min="7" max="7" width="21.83203125" style="341" customWidth="1"/>
    <col min="8" max="8" width="10.5" style="341" bestFit="1" customWidth="1"/>
    <col min="9" max="9" width="15.6640625" style="341" customWidth="1"/>
    <col min="10" max="12" width="10.5" style="341" bestFit="1" customWidth="1"/>
    <col min="13" max="13" width="13.6640625" style="34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154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0.12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0.2</v>
      </c>
      <c r="K3" s="12">
        <v>0.2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3761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43" t="s">
        <v>6</v>
      </c>
      <c r="F6" s="343"/>
      <c r="G6" s="34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44" t="s">
        <v>12</v>
      </c>
      <c r="C10" s="30">
        <v>2024</v>
      </c>
      <c r="D10" s="345">
        <v>2025</v>
      </c>
      <c r="E10" s="345">
        <v>2026</v>
      </c>
      <c r="F10" s="345">
        <v>2027</v>
      </c>
      <c r="G10" s="345">
        <v>2028</v>
      </c>
      <c r="H10" s="345">
        <v>2029</v>
      </c>
      <c r="I10" s="345">
        <v>2030</v>
      </c>
      <c r="J10" s="345">
        <v>2031</v>
      </c>
      <c r="K10" s="345">
        <v>2032</v>
      </c>
      <c r="L10" s="345">
        <v>2033</v>
      </c>
      <c r="M10" s="345">
        <v>2034</v>
      </c>
    </row>
    <row r="11" spans="1:13" ht="18" thickBot="1">
      <c r="A11" s="2"/>
      <c r="B11" s="7" t="s">
        <v>13</v>
      </c>
      <c r="C11" s="32">
        <v>952.37</v>
      </c>
      <c r="D11" s="33">
        <f>C11*(1+H3)</f>
        <v>1142.8440000000001</v>
      </c>
      <c r="E11" s="33">
        <f>D11*(1+$I$3)</f>
        <v>1371.4128000000001</v>
      </c>
      <c r="F11" s="33">
        <f>E11*(1+$J$3)</f>
        <v>1645.6953599999999</v>
      </c>
      <c r="G11" s="33">
        <f>F11*(1+$K$3)</f>
        <v>1974.8344319999999</v>
      </c>
      <c r="H11" s="33">
        <f>G11*(1+$L$3)</f>
        <v>2172.3178751999999</v>
      </c>
      <c r="I11" s="33">
        <f>H11*(1+$C$8)</f>
        <v>2346.1033052160001</v>
      </c>
      <c r="J11" s="33">
        <f>I11*(1+$C$8)</f>
        <v>2533.7915696332802</v>
      </c>
      <c r="K11" s="33">
        <f>J11*(1+$C$8)</f>
        <v>2736.4948952039426</v>
      </c>
      <c r="L11" s="33">
        <f>K11*(1+$C$8)</f>
        <v>2955.4144868202584</v>
      </c>
      <c r="M11" s="33">
        <f>L11*(1+$C$8)</f>
        <v>3191.8476457658794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43621.917825467004</v>
      </c>
    </row>
    <row r="13" spans="1:13" ht="20" thickBot="1">
      <c r="A13" s="2"/>
      <c r="B13" s="35" t="s">
        <v>15</v>
      </c>
      <c r="C13" s="34"/>
      <c r="D13" s="33">
        <f t="shared" ref="D13:L13" si="0">D11</f>
        <v>1142.8440000000001</v>
      </c>
      <c r="E13" s="33">
        <f t="shared" si="0"/>
        <v>1371.4128000000001</v>
      </c>
      <c r="F13" s="33">
        <f t="shared" si="0"/>
        <v>1645.6953599999999</v>
      </c>
      <c r="G13" s="33">
        <f t="shared" si="0"/>
        <v>1974.8344319999999</v>
      </c>
      <c r="H13" s="33">
        <f t="shared" si="0"/>
        <v>2172.3178751999999</v>
      </c>
      <c r="I13" s="33">
        <f t="shared" si="0"/>
        <v>2346.1033052160001</v>
      </c>
      <c r="J13" s="33">
        <f t="shared" si="0"/>
        <v>2533.7915696332802</v>
      </c>
      <c r="K13" s="33">
        <f t="shared" si="0"/>
        <v>2736.4948952039426</v>
      </c>
      <c r="L13" s="33">
        <f t="shared" si="0"/>
        <v>2955.4144868202584</v>
      </c>
      <c r="M13" s="60">
        <f>M11+M12</f>
        <v>46813.76547123288</v>
      </c>
    </row>
    <row r="14" spans="1:13" ht="15" thickBot="1">
      <c r="A14" s="2"/>
      <c r="B14" s="36" t="s">
        <v>35</v>
      </c>
      <c r="C14" s="37">
        <f>C11/J5</f>
        <v>0.25322254719489495</v>
      </c>
      <c r="D14" s="37">
        <f>C14*(1+$H$3)/(1+$H$4)</f>
        <v>0.23374388971836454</v>
      </c>
      <c r="E14" s="37">
        <f>D14*(1+$I$3)/(1+$I$4)</f>
        <v>0.21576359050925958</v>
      </c>
      <c r="F14" s="37">
        <f>E14*(1+$J$3)/(1+$J$4)</f>
        <v>0.21576359050925958</v>
      </c>
      <c r="G14" s="37">
        <f>F14*(1+$K$3)/(1+$K$4)</f>
        <v>0.21576359050925958</v>
      </c>
      <c r="H14" s="37">
        <f>G14*(1+$L$3)/(1+$L$4)</f>
        <v>0.19778329130015465</v>
      </c>
      <c r="I14" s="61">
        <f>H14*(1+$C$8)/(1+$J$8)</f>
        <v>0.19418723145833366</v>
      </c>
      <c r="J14" s="61">
        <f>I14*(1+$C$8)/(1+$J$8)</f>
        <v>0.19065655452272759</v>
      </c>
      <c r="K14" s="61">
        <f>J14*(1+$C$8)/(1+$J$8)</f>
        <v>0.18719007171322347</v>
      </c>
      <c r="L14" s="61">
        <f>K14*(1+$C$8)/(1+$J$8)</f>
        <v>0.18378661586389211</v>
      </c>
      <c r="M14" s="61">
        <f>L14*(1+$C$8)/(1+$J$8)</f>
        <v>0.18044504103000317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44" t="s">
        <v>16</v>
      </c>
      <c r="C16" s="345"/>
      <c r="D16" s="40"/>
      <c r="E16" s="346" t="s">
        <v>80</v>
      </c>
      <c r="F16" s="347">
        <f>C22</f>
        <v>45.336323346903001</v>
      </c>
      <c r="G16" s="34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29309.722666179001</v>
      </c>
      <c r="D17" s="40"/>
      <c r="E17" s="347"/>
      <c r="F17" s="347"/>
      <c r="G17" s="34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2615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143.96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45">
        <f>C17+C18-C19</f>
        <v>31780.762666179002</v>
      </c>
      <c r="D20" s="47"/>
      <c r="E20" s="348" t="s">
        <v>22</v>
      </c>
      <c r="F20" s="349">
        <f>C23</f>
        <v>32.479999999999997</v>
      </c>
      <c r="G20" s="34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701</v>
      </c>
      <c r="D21" s="47"/>
      <c r="E21" s="348"/>
      <c r="F21" s="349"/>
      <c r="G21" s="34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45.336323346903001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32.479999999999997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0.3958227631435654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40" t="s">
        <v>36</v>
      </c>
    </row>
    <row r="30" spans="1:13">
      <c r="B30" s="342"/>
    </row>
    <row r="31" spans="1:13">
      <c r="B31" s="342"/>
    </row>
    <row r="32" spans="1:13">
      <c r="B32" s="342"/>
    </row>
  </sheetData>
  <phoneticPr fontId="23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843E4-218E-254C-9F7F-880A1CCDEBEE}">
  <dimension ref="A1:M36"/>
  <sheetViews>
    <sheetView topLeftCell="M1" zoomScale="108" workbookViewId="0">
      <selection activeCell="I26" sqref="I26"/>
    </sheetView>
  </sheetViews>
  <sheetFormatPr baseColWidth="10" defaultColWidth="9" defaultRowHeight="14"/>
  <cols>
    <col min="2" max="2" width="20.1640625" customWidth="1"/>
    <col min="3" max="3" width="16.33203125" style="260" customWidth="1"/>
    <col min="4" max="4" width="12.5" style="260" customWidth="1"/>
    <col min="5" max="5" width="9.5" style="260" bestFit="1" customWidth="1"/>
    <col min="6" max="6" width="21.1640625" style="260" bestFit="1" customWidth="1"/>
    <col min="7" max="7" width="21.83203125" style="260" customWidth="1"/>
    <col min="8" max="8" width="10.5" style="260" bestFit="1" customWidth="1"/>
    <col min="9" max="9" width="15.6640625" style="260" customWidth="1"/>
    <col min="10" max="12" width="10.5" style="260" bestFit="1" customWidth="1"/>
    <col min="13" max="13" width="13.6640625" style="260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138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0.2</v>
      </c>
      <c r="K3" s="12">
        <v>0.2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1481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62" t="s">
        <v>6</v>
      </c>
      <c r="F6" s="262"/>
      <c r="G6" s="262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63" t="s">
        <v>12</v>
      </c>
      <c r="C10" s="30">
        <v>2024</v>
      </c>
      <c r="D10" s="264">
        <v>2025</v>
      </c>
      <c r="E10" s="264">
        <v>2026</v>
      </c>
      <c r="F10" s="264">
        <v>2027</v>
      </c>
      <c r="G10" s="264">
        <v>2028</v>
      </c>
      <c r="H10" s="264">
        <v>2029</v>
      </c>
      <c r="I10" s="264">
        <v>2030</v>
      </c>
      <c r="J10" s="264">
        <v>2031</v>
      </c>
      <c r="K10" s="264">
        <v>2032</v>
      </c>
      <c r="L10" s="264">
        <v>2033</v>
      </c>
      <c r="M10" s="264">
        <v>2034</v>
      </c>
    </row>
    <row r="11" spans="1:13" ht="18" thickBot="1">
      <c r="A11" s="2"/>
      <c r="B11" s="7" t="s">
        <v>13</v>
      </c>
      <c r="C11" s="32">
        <v>323.13</v>
      </c>
      <c r="D11" s="33">
        <f>C11*(1+H3)</f>
        <v>387.75599999999997</v>
      </c>
      <c r="E11" s="33">
        <f>D11*(1+$I$3)</f>
        <v>465.30719999999997</v>
      </c>
      <c r="F11" s="33">
        <f>E11*(1+$J$3)</f>
        <v>558.36863999999991</v>
      </c>
      <c r="G11" s="33">
        <f>F11*(1+$K$3)</f>
        <v>670.0423679999999</v>
      </c>
      <c r="H11" s="33">
        <f>G11*(1+$L$3)</f>
        <v>737.04660479999995</v>
      </c>
      <c r="I11" s="33">
        <f>H11*(1+$C$8)</f>
        <v>810.75126527999998</v>
      </c>
      <c r="J11" s="33">
        <f>I11*(1+$C$8)</f>
        <v>891.82639180800004</v>
      </c>
      <c r="K11" s="33">
        <f>J11*(1+$C$8)</f>
        <v>981.00903098880008</v>
      </c>
      <c r="L11" s="33">
        <f>K11*(1+$C$8)</f>
        <v>1079.1099340876801</v>
      </c>
      <c r="M11" s="33">
        <f>L11*(1+$C$8)</f>
        <v>1187.0209274964482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16222.619342451453</v>
      </c>
    </row>
    <row r="13" spans="1:13" ht="20" thickBot="1">
      <c r="A13" s="2"/>
      <c r="B13" s="35" t="s">
        <v>15</v>
      </c>
      <c r="C13" s="34"/>
      <c r="D13" s="33">
        <f t="shared" ref="D13:L13" si="0">D11</f>
        <v>387.75599999999997</v>
      </c>
      <c r="E13" s="33">
        <f t="shared" si="0"/>
        <v>465.30719999999997</v>
      </c>
      <c r="F13" s="33">
        <f t="shared" si="0"/>
        <v>558.36863999999991</v>
      </c>
      <c r="G13" s="33">
        <f t="shared" si="0"/>
        <v>670.0423679999999</v>
      </c>
      <c r="H13" s="33">
        <f t="shared" si="0"/>
        <v>737.04660479999995</v>
      </c>
      <c r="I13" s="33">
        <f t="shared" si="0"/>
        <v>810.75126527999998</v>
      </c>
      <c r="J13" s="33">
        <f t="shared" si="0"/>
        <v>891.82639180800004</v>
      </c>
      <c r="K13" s="33">
        <f t="shared" si="0"/>
        <v>981.00903098880008</v>
      </c>
      <c r="L13" s="33">
        <f t="shared" si="0"/>
        <v>1079.1099340876801</v>
      </c>
      <c r="M13" s="60">
        <f>M11+M12</f>
        <v>17409.6402699479</v>
      </c>
    </row>
    <row r="14" spans="1:13" ht="15" thickBot="1">
      <c r="A14" s="2"/>
      <c r="B14" s="36" t="s">
        <v>35</v>
      </c>
      <c r="C14" s="37">
        <f>C11/J5</f>
        <v>0.21818365968939904</v>
      </c>
      <c r="D14" s="37">
        <f>C14*(1+$H$3)/(1+$H$4)</f>
        <v>0.20140030125175293</v>
      </c>
      <c r="E14" s="37">
        <f>D14*(1+$I$3)/(1+$I$4)</f>
        <v>0.18590797038623347</v>
      </c>
      <c r="F14" s="37">
        <f>E14*(1+$J$3)/(1+$J$4)</f>
        <v>0.18590797038623347</v>
      </c>
      <c r="G14" s="37">
        <f>F14*(1+$K$3)/(1+$K$4)</f>
        <v>0.18590797038623347</v>
      </c>
      <c r="H14" s="37">
        <f>G14*(1+$L$3)/(1+$L$4)</f>
        <v>0.17041563952071404</v>
      </c>
      <c r="I14" s="61">
        <f>H14*(1+$C$8)/(1+$J$8)</f>
        <v>0.17041563952071404</v>
      </c>
      <c r="J14" s="61">
        <f>I14*(1+$C$8)/(1+$J$8)</f>
        <v>0.17041563952071404</v>
      </c>
      <c r="K14" s="61">
        <f>J14*(1+$C$8)/(1+$J$8)</f>
        <v>0.17041563952071404</v>
      </c>
      <c r="L14" s="61">
        <f>K14*(1+$C$8)/(1+$J$8)</f>
        <v>0.17041563952071404</v>
      </c>
      <c r="M14" s="61">
        <f>L14*(1+$C$8)/(1+$J$8)</f>
        <v>0.17041563952071404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63" t="s">
        <v>16</v>
      </c>
      <c r="C16" s="264"/>
      <c r="D16" s="40"/>
      <c r="E16" s="265" t="s">
        <v>80</v>
      </c>
      <c r="F16" s="266">
        <f>C22</f>
        <v>124.82157184427918</v>
      </c>
      <c r="G16" s="266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10614.625178608008</v>
      </c>
      <c r="D17" s="40"/>
      <c r="E17" s="266"/>
      <c r="F17" s="266"/>
      <c r="G17" s="266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702.99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582.96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64">
        <f>C17+C18-C19</f>
        <v>10734.655178608009</v>
      </c>
      <c r="D20" s="47"/>
      <c r="E20" s="267" t="s">
        <v>22</v>
      </c>
      <c r="F20" s="268">
        <f>C23</f>
        <v>94.51</v>
      </c>
      <c r="G20" s="268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86</v>
      </c>
      <c r="D21" s="47"/>
      <c r="E21" s="267"/>
      <c r="F21" s="268"/>
      <c r="G21" s="268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124.82157184427918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94.51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0.32072343502570277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59" t="s">
        <v>36</v>
      </c>
    </row>
    <row r="30" spans="1:13">
      <c r="B30" s="261"/>
    </row>
    <row r="31" spans="1:13">
      <c r="B31" s="261"/>
    </row>
    <row r="32" spans="1:13">
      <c r="B32" s="261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6FF5-59F3-9545-AEC0-FBB3BA2F85EA}">
  <dimension ref="A1:M36"/>
  <sheetViews>
    <sheetView zoomScale="131" workbookViewId="0">
      <selection activeCell="E36" sqref="E36"/>
    </sheetView>
  </sheetViews>
  <sheetFormatPr baseColWidth="10" defaultColWidth="9" defaultRowHeight="14"/>
  <cols>
    <col min="2" max="2" width="20.1640625" customWidth="1"/>
    <col min="3" max="3" width="21.83203125" style="271" customWidth="1"/>
    <col min="4" max="4" width="12.5" style="271" customWidth="1"/>
    <col min="5" max="5" width="9.5" style="271" bestFit="1" customWidth="1"/>
    <col min="6" max="6" width="21.1640625" style="271" bestFit="1" customWidth="1"/>
    <col min="7" max="7" width="21.83203125" style="271" customWidth="1"/>
    <col min="8" max="8" width="10.5" style="271" bestFit="1" customWidth="1"/>
    <col min="9" max="9" width="15.6640625" style="271" customWidth="1"/>
    <col min="10" max="12" width="10.5" style="271" bestFit="1" customWidth="1"/>
    <col min="13" max="13" width="13.6640625" style="27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140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0.8</v>
      </c>
      <c r="I3" s="12">
        <v>0.6</v>
      </c>
      <c r="J3" s="12">
        <v>0.6</v>
      </c>
      <c r="K3" s="12">
        <v>0.5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137.38999999999999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73" t="s">
        <v>6</v>
      </c>
      <c r="F6" s="273"/>
      <c r="G6" s="27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74" t="s">
        <v>12</v>
      </c>
      <c r="C10" s="30">
        <v>2024</v>
      </c>
      <c r="D10" s="275">
        <v>2025</v>
      </c>
      <c r="E10" s="275">
        <v>2026</v>
      </c>
      <c r="F10" s="275">
        <v>2027</v>
      </c>
      <c r="G10" s="275">
        <v>2028</v>
      </c>
      <c r="H10" s="275">
        <v>2029</v>
      </c>
      <c r="I10" s="275">
        <v>2030</v>
      </c>
      <c r="J10" s="275">
        <v>2031</v>
      </c>
      <c r="K10" s="275">
        <v>2032</v>
      </c>
      <c r="L10" s="275">
        <v>2033</v>
      </c>
      <c r="M10" s="275">
        <v>2034</v>
      </c>
    </row>
    <row r="11" spans="1:13" ht="18" thickBot="1">
      <c r="A11" s="2"/>
      <c r="B11" s="7" t="s">
        <v>13</v>
      </c>
      <c r="C11" s="32">
        <v>11.03</v>
      </c>
      <c r="D11" s="33">
        <f>C11*(1+H3)</f>
        <v>19.853999999999999</v>
      </c>
      <c r="E11" s="33">
        <f>D11*(1+$I$3)</f>
        <v>31.766400000000001</v>
      </c>
      <c r="F11" s="33">
        <f>E11*(1+$J$3)</f>
        <v>50.826240000000006</v>
      </c>
      <c r="G11" s="33">
        <f>F11*(1+$K$3)</f>
        <v>76.239360000000005</v>
      </c>
      <c r="H11" s="33">
        <f>G11*(1+$L$3)</f>
        <v>91.487232000000006</v>
      </c>
      <c r="I11" s="33">
        <f>H11*(1+$C$8)</f>
        <v>100.63595520000001</v>
      </c>
      <c r="J11" s="33">
        <f>I11*(1+$C$8)</f>
        <v>110.69955072000002</v>
      </c>
      <c r="K11" s="33">
        <f>J11*(1+$C$8)</f>
        <v>121.76950579200003</v>
      </c>
      <c r="L11" s="33">
        <f>K11*(1+$C$8)</f>
        <v>133.94645637120004</v>
      </c>
      <c r="M11" s="33">
        <f>L11*(1+$C$8)</f>
        <v>147.34110200832006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2013.6617274470404</v>
      </c>
    </row>
    <row r="13" spans="1:13" ht="20" thickBot="1">
      <c r="A13" s="2"/>
      <c r="B13" s="35" t="s">
        <v>15</v>
      </c>
      <c r="C13" s="34"/>
      <c r="D13" s="33">
        <f t="shared" ref="D13:L13" si="0">D11</f>
        <v>19.853999999999999</v>
      </c>
      <c r="E13" s="33">
        <f t="shared" si="0"/>
        <v>31.766400000000001</v>
      </c>
      <c r="F13" s="33">
        <f t="shared" si="0"/>
        <v>50.826240000000006</v>
      </c>
      <c r="G13" s="33">
        <f t="shared" si="0"/>
        <v>76.239360000000005</v>
      </c>
      <c r="H13" s="33">
        <f t="shared" si="0"/>
        <v>91.487232000000006</v>
      </c>
      <c r="I13" s="33">
        <f t="shared" si="0"/>
        <v>100.63595520000001</v>
      </c>
      <c r="J13" s="33">
        <f t="shared" si="0"/>
        <v>110.69955072000002</v>
      </c>
      <c r="K13" s="33">
        <f t="shared" si="0"/>
        <v>121.76950579200003</v>
      </c>
      <c r="L13" s="33">
        <f t="shared" si="0"/>
        <v>133.94645637120004</v>
      </c>
      <c r="M13" s="60">
        <f>M11+M12</f>
        <v>2161.0028294553604</v>
      </c>
    </row>
    <row r="14" spans="1:13" ht="15" thickBot="1">
      <c r="A14" s="2"/>
      <c r="B14" s="36" t="s">
        <v>35</v>
      </c>
      <c r="C14" s="37">
        <f>C11/J5</f>
        <v>8.0282407744377324E-2</v>
      </c>
      <c r="D14" s="37">
        <f>C14*(1+$H$3)/(1+$H$4)</f>
        <v>0.11116025687683015</v>
      </c>
      <c r="E14" s="37">
        <f>D14*(1+$I$3)/(1+$I$4)</f>
        <v>0.13681262384840634</v>
      </c>
      <c r="F14" s="37">
        <f>E14*(1+$J$3)/(1+$J$4)</f>
        <v>0.18241683179787513</v>
      </c>
      <c r="G14" s="37">
        <f>F14*(1+$K$3)/(1+$K$4)</f>
        <v>0.22802103974734392</v>
      </c>
      <c r="H14" s="37">
        <f>G14*(1+$L$3)/(1+$L$4)</f>
        <v>0.22802103974734392</v>
      </c>
      <c r="I14" s="61">
        <f>H14*(1+$C$8)/(1+$J$8)</f>
        <v>0.22802103974734389</v>
      </c>
      <c r="J14" s="61">
        <f>I14*(1+$C$8)/(1+$J$8)</f>
        <v>0.22802103974734389</v>
      </c>
      <c r="K14" s="61">
        <f>J14*(1+$C$8)/(1+$J$8)</f>
        <v>0.22802103974734389</v>
      </c>
      <c r="L14" s="61">
        <f>K14*(1+$C$8)/(1+$J$8)</f>
        <v>0.22802103974734389</v>
      </c>
      <c r="M14" s="61">
        <f>L14*(1+$C$8)/(1+$J$8)</f>
        <v>0.22802103974734389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74" t="s">
        <v>16</v>
      </c>
      <c r="C16" s="275"/>
      <c r="D16" s="40"/>
      <c r="E16" s="276" t="s">
        <v>80</v>
      </c>
      <c r="F16" s="277">
        <f>C22</f>
        <v>39.789166692538366</v>
      </c>
      <c r="G16" s="27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1251.7533341612277</v>
      </c>
      <c r="D17" s="40"/>
      <c r="E17" s="277"/>
      <c r="F17" s="277"/>
      <c r="G17" s="27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26.38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4.88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75">
        <f>C17+C18-C19</f>
        <v>1273.2533341612277</v>
      </c>
      <c r="D20" s="47"/>
      <c r="E20" s="278" t="s">
        <v>22</v>
      </c>
      <c r="F20" s="279">
        <f>C23</f>
        <v>43.01</v>
      </c>
      <c r="G20" s="27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32</v>
      </c>
      <c r="D21" s="47"/>
      <c r="E21" s="278"/>
      <c r="F21" s="279"/>
      <c r="G21" s="27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39.789166692538366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43.01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-7.4885684897968666E-2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70" t="s">
        <v>36</v>
      </c>
    </row>
    <row r="30" spans="1:13">
      <c r="B30" s="272"/>
    </row>
    <row r="31" spans="1:13">
      <c r="B31" s="272"/>
    </row>
    <row r="32" spans="1:13">
      <c r="B32" s="27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14002-61BE-2344-A67C-3493E9BE1B76}">
  <dimension ref="A1:M36"/>
  <sheetViews>
    <sheetView zoomScale="172" workbookViewId="0">
      <selection activeCell="H18" sqref="H18"/>
    </sheetView>
  </sheetViews>
  <sheetFormatPr baseColWidth="10" defaultColWidth="9" defaultRowHeight="14"/>
  <cols>
    <col min="2" max="2" width="20.1640625" customWidth="1"/>
    <col min="3" max="3" width="21.83203125" style="271" customWidth="1"/>
    <col min="4" max="4" width="12.5" style="271" customWidth="1"/>
    <col min="5" max="5" width="9.6640625" style="271" bestFit="1" customWidth="1"/>
    <col min="6" max="6" width="21.33203125" style="271" bestFit="1" customWidth="1"/>
    <col min="7" max="7" width="21.83203125" style="271" customWidth="1"/>
    <col min="8" max="8" width="10.6640625" style="271" bestFit="1" customWidth="1"/>
    <col min="9" max="9" width="15.6640625" style="271" customWidth="1"/>
    <col min="10" max="12" width="10.6640625" style="271" bestFit="1" customWidth="1"/>
    <col min="13" max="13" width="14.83203125" style="27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141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0.4</v>
      </c>
      <c r="I3" s="12">
        <v>0.15</v>
      </c>
      <c r="J3" s="12">
        <v>0.15</v>
      </c>
      <c r="K3" s="12">
        <v>0.15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620128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73" t="s">
        <v>6</v>
      </c>
      <c r="F6" s="273"/>
      <c r="G6" s="27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74" t="s">
        <v>12</v>
      </c>
      <c r="C10" s="30">
        <v>2024</v>
      </c>
      <c r="D10" s="275">
        <v>2025</v>
      </c>
      <c r="E10" s="275">
        <v>2026</v>
      </c>
      <c r="F10" s="275">
        <v>2027</v>
      </c>
      <c r="G10" s="275">
        <v>2028</v>
      </c>
      <c r="H10" s="275">
        <v>2029</v>
      </c>
      <c r="I10" s="275">
        <v>2030</v>
      </c>
      <c r="J10" s="275">
        <v>2031</v>
      </c>
      <c r="K10" s="275">
        <v>2032</v>
      </c>
      <c r="L10" s="275">
        <v>2033</v>
      </c>
      <c r="M10" s="275">
        <v>2034</v>
      </c>
    </row>
    <row r="11" spans="1:13" ht="18" thickBot="1">
      <c r="A11" s="2"/>
      <c r="B11" s="7" t="s">
        <v>13</v>
      </c>
      <c r="C11" s="32">
        <v>48340</v>
      </c>
      <c r="D11" s="33">
        <f>C11*(1+H3)</f>
        <v>67676</v>
      </c>
      <c r="E11" s="33">
        <f>D11*(1+$I$3)</f>
        <v>77827.399999999994</v>
      </c>
      <c r="F11" s="33">
        <f>E11*(1+$J$3)</f>
        <v>89501.50999999998</v>
      </c>
      <c r="G11" s="33">
        <f>F11*(1+$K$3)</f>
        <v>102926.73649999997</v>
      </c>
      <c r="H11" s="33">
        <f>G11*(1+$L$3)</f>
        <v>113219.41014999998</v>
      </c>
      <c r="I11" s="33">
        <f>H11*(1+$C$8)</f>
        <v>118880.38065749999</v>
      </c>
      <c r="J11" s="33">
        <f>I11*(1+$C$8)</f>
        <v>124824.39969037499</v>
      </c>
      <c r="K11" s="33">
        <f>J11*(1+$C$8)</f>
        <v>131065.61967489375</v>
      </c>
      <c r="L11" s="33">
        <f>K11*(1+$C$8)</f>
        <v>137618.90065863845</v>
      </c>
      <c r="M11" s="33">
        <f>L11*(1+$C$8)</f>
        <v>144499.84569157037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1974831.2244514613</v>
      </c>
    </row>
    <row r="13" spans="1:13" ht="20" thickBot="1">
      <c r="A13" s="2"/>
      <c r="B13" s="35" t="s">
        <v>15</v>
      </c>
      <c r="C13" s="34"/>
      <c r="D13" s="33">
        <f t="shared" ref="D13:L13" si="0">D11</f>
        <v>67676</v>
      </c>
      <c r="E13" s="33">
        <f t="shared" si="0"/>
        <v>77827.399999999994</v>
      </c>
      <c r="F13" s="33">
        <f t="shared" si="0"/>
        <v>89501.50999999998</v>
      </c>
      <c r="G13" s="33">
        <f t="shared" si="0"/>
        <v>102926.73649999997</v>
      </c>
      <c r="H13" s="33">
        <f t="shared" si="0"/>
        <v>113219.41014999998</v>
      </c>
      <c r="I13" s="33">
        <f t="shared" si="0"/>
        <v>118880.38065749999</v>
      </c>
      <c r="J13" s="33">
        <f t="shared" si="0"/>
        <v>124824.39969037499</v>
      </c>
      <c r="K13" s="33">
        <f t="shared" si="0"/>
        <v>131065.61967489375</v>
      </c>
      <c r="L13" s="33">
        <f t="shared" si="0"/>
        <v>137618.90065863845</v>
      </c>
      <c r="M13" s="60">
        <f>M11+M12</f>
        <v>2119331.0701430319</v>
      </c>
    </row>
    <row r="14" spans="1:13" ht="15" thickBot="1">
      <c r="A14" s="2"/>
      <c r="B14" s="36" t="s">
        <v>35</v>
      </c>
      <c r="C14" s="37">
        <f>C11/J5</f>
        <v>7.7951648691882966E-2</v>
      </c>
      <c r="D14" s="37">
        <f>C14*(1+$H$3)/(1+$H$4)</f>
        <v>8.3947929360489337E-2</v>
      </c>
      <c r="E14" s="37">
        <f>D14*(1+$I$3)/(1+$I$4)</f>
        <v>7.4261629818894406E-2</v>
      </c>
      <c r="F14" s="37">
        <f>E14*(1+$J$3)/(1+$J$4)</f>
        <v>7.116739524310714E-2</v>
      </c>
      <c r="G14" s="37">
        <f>F14*(1+$K$3)/(1+$K$4)</f>
        <v>6.8202087107977677E-2</v>
      </c>
      <c r="H14" s="37">
        <f>G14*(1+$L$3)/(1+$L$4)</f>
        <v>6.2518579848979544E-2</v>
      </c>
      <c r="I14" s="61">
        <f>H14*(1+$C$8)/(1+$J$8)</f>
        <v>5.9676826219480478E-2</v>
      </c>
      <c r="J14" s="61">
        <f>I14*(1+$C$8)/(1+$J$8)</f>
        <v>5.6964243209504092E-2</v>
      </c>
      <c r="K14" s="61">
        <f>J14*(1+$C$8)/(1+$J$8)</f>
        <v>5.4374959427253899E-2</v>
      </c>
      <c r="L14" s="61">
        <f>K14*(1+$C$8)/(1+$J$8)</f>
        <v>5.1903370362378722E-2</v>
      </c>
      <c r="M14" s="61">
        <f>L14*(1+$C$8)/(1+$J$8)</f>
        <v>4.9544126254997871E-2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74" t="s">
        <v>16</v>
      </c>
      <c r="C16" s="275"/>
      <c r="D16" s="40"/>
      <c r="E16" s="276" t="s">
        <v>80</v>
      </c>
      <c r="F16" s="277">
        <f>C22</f>
        <v>124.59882339427105</v>
      </c>
      <c r="G16" s="27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1401448.6314976034</v>
      </c>
      <c r="D17" s="40"/>
      <c r="E17" s="277"/>
      <c r="F17" s="277"/>
      <c r="G17" s="27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88051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158535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75">
        <f>C17+C18-C19</f>
        <v>1330964.6314976034</v>
      </c>
      <c r="D20" s="47"/>
      <c r="E20" s="278" t="s">
        <v>22</v>
      </c>
      <c r="F20" s="279">
        <f>C23</f>
        <v>224.92</v>
      </c>
      <c r="G20" s="27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10682</v>
      </c>
      <c r="D21" s="47"/>
      <c r="E21" s="278"/>
      <c r="F21" s="279"/>
      <c r="G21" s="27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124.59882339427105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224.92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-0.44603048464222367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70" t="s">
        <v>36</v>
      </c>
    </row>
    <row r="30" spans="1:13">
      <c r="B30" s="272"/>
    </row>
    <row r="31" spans="1:13">
      <c r="B31" s="272"/>
    </row>
    <row r="32" spans="1:13">
      <c r="B32" s="27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9A5FA-DA3C-1D4E-8FE9-944F3D4212AD}">
  <dimension ref="A1:M36"/>
  <sheetViews>
    <sheetView zoomScale="171" workbookViewId="0">
      <selection activeCell="J29" sqref="J29"/>
    </sheetView>
  </sheetViews>
  <sheetFormatPr baseColWidth="10" defaultColWidth="9" defaultRowHeight="14"/>
  <cols>
    <col min="2" max="2" width="20.1640625" customWidth="1"/>
    <col min="3" max="3" width="21.83203125" style="271" customWidth="1"/>
    <col min="4" max="4" width="12.5" style="271" customWidth="1"/>
    <col min="5" max="5" width="9.6640625" style="271" bestFit="1" customWidth="1"/>
    <col min="6" max="6" width="21.33203125" style="271" bestFit="1" customWidth="1"/>
    <col min="7" max="7" width="21.83203125" style="271" customWidth="1"/>
    <col min="8" max="8" width="10.6640625" style="271" bestFit="1" customWidth="1"/>
    <col min="9" max="9" width="15.6640625" style="271" customWidth="1"/>
    <col min="10" max="12" width="10.6640625" style="271" bestFit="1" customWidth="1"/>
    <col min="13" max="13" width="14.83203125" style="27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142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1</v>
      </c>
      <c r="I3" s="12">
        <v>0.6</v>
      </c>
      <c r="J3" s="12">
        <v>0.3</v>
      </c>
      <c r="K3" s="12">
        <v>0.25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0.6</v>
      </c>
      <c r="I4" s="12">
        <v>0.6</v>
      </c>
      <c r="J4" s="12">
        <v>0.3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8045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73" t="s">
        <v>6</v>
      </c>
      <c r="F6" s="273"/>
      <c r="G6" s="27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0.08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74" t="s">
        <v>12</v>
      </c>
      <c r="C10" s="30">
        <v>2024</v>
      </c>
      <c r="D10" s="275">
        <v>2025</v>
      </c>
      <c r="E10" s="275">
        <v>2026</v>
      </c>
      <c r="F10" s="275">
        <v>2027</v>
      </c>
      <c r="G10" s="275">
        <v>2028</v>
      </c>
      <c r="H10" s="275">
        <v>2029</v>
      </c>
      <c r="I10" s="275">
        <v>2030</v>
      </c>
      <c r="J10" s="275">
        <v>2031</v>
      </c>
      <c r="K10" s="275">
        <v>2032</v>
      </c>
      <c r="L10" s="275">
        <v>2033</v>
      </c>
      <c r="M10" s="275">
        <v>2034</v>
      </c>
    </row>
    <row r="11" spans="1:13" ht="18" thickBot="1">
      <c r="A11" s="2"/>
      <c r="B11" s="7" t="s">
        <v>13</v>
      </c>
      <c r="C11" s="32">
        <v>3800</v>
      </c>
      <c r="D11" s="33">
        <f>C11*(1+H3)</f>
        <v>7600</v>
      </c>
      <c r="E11" s="33">
        <f>D11*(1+$I$3)</f>
        <v>12160</v>
      </c>
      <c r="F11" s="33">
        <f>E11*(1+$J$3)</f>
        <v>15808</v>
      </c>
      <c r="G11" s="33">
        <f>F11*(1+$K$3)</f>
        <v>19760</v>
      </c>
      <c r="H11" s="33">
        <f>G11*(1+$L$3)</f>
        <v>23712</v>
      </c>
      <c r="I11" s="33">
        <f>H11*(1+$C$8)</f>
        <v>25608.960000000003</v>
      </c>
      <c r="J11" s="33">
        <f>I11*(1+$C$8)</f>
        <v>27657.676800000005</v>
      </c>
      <c r="K11" s="33">
        <f>J11*(1+$C$8)</f>
        <v>29870.290944000008</v>
      </c>
      <c r="L11" s="33">
        <f>K11*(1+$C$8)</f>
        <v>32259.914219520011</v>
      </c>
      <c r="M11" s="33">
        <f>L11*(1+$C$8)</f>
        <v>34840.707357081614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476156.33388011524</v>
      </c>
    </row>
    <row r="13" spans="1:13" ht="20" thickBot="1">
      <c r="A13" s="2"/>
      <c r="B13" s="35" t="s">
        <v>15</v>
      </c>
      <c r="C13" s="34"/>
      <c r="D13" s="33">
        <f t="shared" ref="D13:L13" si="0">D11</f>
        <v>7600</v>
      </c>
      <c r="E13" s="33">
        <f t="shared" si="0"/>
        <v>12160</v>
      </c>
      <c r="F13" s="33">
        <f t="shared" si="0"/>
        <v>15808</v>
      </c>
      <c r="G13" s="33">
        <f t="shared" si="0"/>
        <v>19760</v>
      </c>
      <c r="H13" s="33">
        <f t="shared" si="0"/>
        <v>23712</v>
      </c>
      <c r="I13" s="33">
        <f t="shared" si="0"/>
        <v>25608.960000000003</v>
      </c>
      <c r="J13" s="33">
        <f t="shared" si="0"/>
        <v>27657.676800000005</v>
      </c>
      <c r="K13" s="33">
        <f t="shared" si="0"/>
        <v>29870.290944000008</v>
      </c>
      <c r="L13" s="33">
        <f t="shared" si="0"/>
        <v>32259.914219520011</v>
      </c>
      <c r="M13" s="60">
        <f>M11+M12</f>
        <v>510997.04123719689</v>
      </c>
    </row>
    <row r="14" spans="1:13" ht="15" thickBot="1">
      <c r="A14" s="2"/>
      <c r="B14" s="36" t="s">
        <v>35</v>
      </c>
      <c r="C14" s="37">
        <f>C11/J5</f>
        <v>0.47234307022995647</v>
      </c>
      <c r="D14" s="37">
        <f>C14*(1+$H$3)/(1+$H$4)</f>
        <v>0.59042883778744559</v>
      </c>
      <c r="E14" s="37">
        <f>D14*(1+$I$3)/(1+$I$4)</f>
        <v>0.59042883778744559</v>
      </c>
      <c r="F14" s="37">
        <f>E14*(1+$J$3)/(1+$J$4)</f>
        <v>0.59042883778744559</v>
      </c>
      <c r="G14" s="37">
        <f>F14*(1+$K$3)/(1+$K$4)</f>
        <v>0.61503003936192258</v>
      </c>
      <c r="H14" s="37">
        <f>G14*(1+$L$3)/(1+$L$4)</f>
        <v>0.61503003936192258</v>
      </c>
      <c r="I14" s="61">
        <f>H14*(1+$C$8)/(1+$J$8)</f>
        <v>0.61503003936192258</v>
      </c>
      <c r="J14" s="61">
        <f>I14*(1+$C$8)/(1+$J$8)</f>
        <v>0.61503003936192258</v>
      </c>
      <c r="K14" s="61">
        <f>J14*(1+$C$8)/(1+$J$8)</f>
        <v>0.61503003936192258</v>
      </c>
      <c r="L14" s="61">
        <f>K14*(1+$C$8)/(1+$J$8)</f>
        <v>0.61503003936192258</v>
      </c>
      <c r="M14" s="61">
        <f>L14*(1+$C$8)/(1+$J$8)</f>
        <v>0.61503003936192258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74" t="s">
        <v>16</v>
      </c>
      <c r="C16" s="275"/>
      <c r="D16" s="40"/>
      <c r="E16" s="276" t="s">
        <v>80</v>
      </c>
      <c r="F16" s="277">
        <f>C22</f>
        <v>234.39760994582269</v>
      </c>
      <c r="G16" s="27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310330.9901572399</v>
      </c>
      <c r="D17" s="40"/>
      <c r="E17" s="277"/>
      <c r="F17" s="277"/>
      <c r="G17" s="27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7030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2565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75">
        <f>C17+C18-C19</f>
        <v>314795.9901572399</v>
      </c>
      <c r="D20" s="47"/>
      <c r="E20" s="278" t="s">
        <v>22</v>
      </c>
      <c r="F20" s="279">
        <f>C23</f>
        <v>86.95</v>
      </c>
      <c r="G20" s="27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1343</v>
      </c>
      <c r="D21" s="47"/>
      <c r="E21" s="278"/>
      <c r="F21" s="279"/>
      <c r="G21" s="27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234.39760994582269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86.95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1.695774697479272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70" t="s">
        <v>36</v>
      </c>
    </row>
    <row r="30" spans="1:13">
      <c r="B30" s="272"/>
    </row>
    <row r="31" spans="1:13">
      <c r="B31" s="272"/>
    </row>
    <row r="32" spans="1:13">
      <c r="B32" s="27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C51C1-4854-2B48-B7BE-7E127D6842D3}">
  <dimension ref="A1:M36"/>
  <sheetViews>
    <sheetView zoomScale="234" zoomScaleNormal="100" zoomScaleSheetLayoutView="59" workbookViewId="0">
      <selection activeCell="F34" sqref="F34"/>
    </sheetView>
  </sheetViews>
  <sheetFormatPr baseColWidth="10" defaultColWidth="9" defaultRowHeight="14"/>
  <cols>
    <col min="2" max="2" width="20.1640625" customWidth="1"/>
    <col min="3" max="3" width="21.83203125" style="281" customWidth="1"/>
    <col min="4" max="4" width="12.5" style="281" customWidth="1"/>
    <col min="5" max="5" width="9.6640625" style="281" bestFit="1" customWidth="1"/>
    <col min="6" max="6" width="21.33203125" style="281" bestFit="1" customWidth="1"/>
    <col min="7" max="7" width="21.83203125" style="281" customWidth="1"/>
    <col min="8" max="8" width="10.6640625" style="281" bestFit="1" customWidth="1"/>
    <col min="9" max="9" width="15.6640625" style="281" customWidth="1"/>
    <col min="10" max="12" width="10.6640625" style="281" bestFit="1" customWidth="1"/>
    <col min="13" max="13" width="14.83203125" style="28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143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1</v>
      </c>
      <c r="I3" s="12">
        <v>0.6</v>
      </c>
      <c r="J3" s="12">
        <v>0.5</v>
      </c>
      <c r="K3" s="12">
        <v>0.15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1218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83" t="s">
        <v>6</v>
      </c>
      <c r="F6" s="283"/>
      <c r="G6" s="28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84" t="s">
        <v>12</v>
      </c>
      <c r="C10" s="30">
        <v>2024</v>
      </c>
      <c r="D10" s="285">
        <v>2025</v>
      </c>
      <c r="E10" s="285">
        <v>2026</v>
      </c>
      <c r="F10" s="285">
        <v>2027</v>
      </c>
      <c r="G10" s="285">
        <v>2028</v>
      </c>
      <c r="H10" s="285">
        <v>2029</v>
      </c>
      <c r="I10" s="285">
        <v>2030</v>
      </c>
      <c r="J10" s="285">
        <v>2031</v>
      </c>
      <c r="K10" s="285">
        <v>2032</v>
      </c>
      <c r="L10" s="285">
        <v>2033</v>
      </c>
      <c r="M10" s="285">
        <v>2034</v>
      </c>
    </row>
    <row r="11" spans="1:13" ht="18" thickBot="1">
      <c r="A11" s="2"/>
      <c r="B11" s="7" t="s">
        <v>13</v>
      </c>
      <c r="C11" s="32">
        <v>107.61</v>
      </c>
      <c r="D11" s="33">
        <f>C11*(1+H3)</f>
        <v>215.22</v>
      </c>
      <c r="E11" s="33">
        <f>D11*(1+$I$3)</f>
        <v>344.35200000000003</v>
      </c>
      <c r="F11" s="33">
        <f>E11*(1+$J$3)</f>
        <v>516.52800000000002</v>
      </c>
      <c r="G11" s="33">
        <f>F11*(1+$K$3)</f>
        <v>594.00720000000001</v>
      </c>
      <c r="H11" s="33">
        <f>G11*(1+$L$3)</f>
        <v>653.4079200000001</v>
      </c>
      <c r="I11" s="33">
        <f>H11*(1+$C$8)</f>
        <v>686.07831600000009</v>
      </c>
      <c r="J11" s="33">
        <f>I11*(1+$C$8)</f>
        <v>720.38223180000011</v>
      </c>
      <c r="K11" s="33">
        <f>J11*(1+$C$8)</f>
        <v>756.40134339000019</v>
      </c>
      <c r="L11" s="33">
        <f>K11*(1+$C$8)</f>
        <v>794.22141055950021</v>
      </c>
      <c r="M11" s="33">
        <f>L11*(1+$C$8)</f>
        <v>833.93248108747525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11397.077241528827</v>
      </c>
    </row>
    <row r="13" spans="1:13" ht="20" thickBot="1">
      <c r="A13" s="2"/>
      <c r="B13" s="35" t="s">
        <v>15</v>
      </c>
      <c r="C13" s="34"/>
      <c r="D13" s="33">
        <f t="shared" ref="D13:L13" si="0">D11</f>
        <v>215.22</v>
      </c>
      <c r="E13" s="33">
        <f t="shared" si="0"/>
        <v>344.35200000000003</v>
      </c>
      <c r="F13" s="33">
        <f t="shared" si="0"/>
        <v>516.52800000000002</v>
      </c>
      <c r="G13" s="33">
        <f t="shared" si="0"/>
        <v>594.00720000000001</v>
      </c>
      <c r="H13" s="33">
        <f t="shared" si="0"/>
        <v>653.4079200000001</v>
      </c>
      <c r="I13" s="33">
        <f t="shared" si="0"/>
        <v>686.07831600000009</v>
      </c>
      <c r="J13" s="33">
        <f t="shared" si="0"/>
        <v>720.38223180000011</v>
      </c>
      <c r="K13" s="33">
        <f t="shared" si="0"/>
        <v>756.40134339000019</v>
      </c>
      <c r="L13" s="33">
        <f t="shared" si="0"/>
        <v>794.22141055950021</v>
      </c>
      <c r="M13" s="60">
        <f>M11+M12</f>
        <v>12231.009722616302</v>
      </c>
    </row>
    <row r="14" spans="1:13" ht="15" thickBot="1">
      <c r="A14" s="2"/>
      <c r="B14" s="36" t="s">
        <v>35</v>
      </c>
      <c r="C14" s="37">
        <f>C11/J5</f>
        <v>8.8349753694581284E-2</v>
      </c>
      <c r="D14" s="37">
        <f>C14*(1+$H$3)/(1+$H$4)</f>
        <v>0.13592269799166351</v>
      </c>
      <c r="E14" s="37">
        <f>D14*(1+$I$3)/(1+$I$4)</f>
        <v>0.16728947445127818</v>
      </c>
      <c r="F14" s="37">
        <f>E14*(1+$J$3)/(1+$J$4)</f>
        <v>0.20911184306409772</v>
      </c>
      <c r="G14" s="37">
        <f>F14*(1+$K$3)/(1+$K$4)</f>
        <v>0.20039884960309365</v>
      </c>
      <c r="H14" s="37">
        <f>G14*(1+$L$3)/(1+$L$4)</f>
        <v>0.18369894546950255</v>
      </c>
      <c r="I14" s="61">
        <f>H14*(1+$C$8)/(1+$J$8)</f>
        <v>0.17534899340270696</v>
      </c>
      <c r="J14" s="61">
        <f>I14*(1+$C$8)/(1+$J$8)</f>
        <v>0.16737858461167482</v>
      </c>
      <c r="K14" s="61">
        <f>J14*(1+$C$8)/(1+$J$8)</f>
        <v>0.15977046712932597</v>
      </c>
      <c r="L14" s="61">
        <f>K14*(1+$C$8)/(1+$J$8)</f>
        <v>0.15250817316890206</v>
      </c>
      <c r="M14" s="61">
        <f>L14*(1+$C$8)/(1+$J$8)</f>
        <v>0.14557598347940651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84" t="s">
        <v>16</v>
      </c>
      <c r="C16" s="285"/>
      <c r="D16" s="40"/>
      <c r="E16" s="286" t="s">
        <v>80</v>
      </c>
      <c r="F16" s="287">
        <f>C22</f>
        <v>131.68050310623215</v>
      </c>
      <c r="G16" s="28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7841.9691801614645</v>
      </c>
      <c r="D17" s="40"/>
      <c r="E17" s="287"/>
      <c r="F17" s="287"/>
      <c r="G17" s="28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96.77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301.27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85">
        <f>C17+C18-C19</f>
        <v>7637.4691801614645</v>
      </c>
      <c r="D20" s="47"/>
      <c r="E20" s="288" t="s">
        <v>22</v>
      </c>
      <c r="F20" s="289">
        <f>C23</f>
        <v>127.76</v>
      </c>
      <c r="G20" s="28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58</v>
      </c>
      <c r="D21" s="47"/>
      <c r="E21" s="288"/>
      <c r="F21" s="289"/>
      <c r="G21" s="28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131.68050310623215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127.76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3.0686467644271655E-2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80" t="s">
        <v>36</v>
      </c>
    </row>
    <row r="30" spans="1:13">
      <c r="B30" s="282"/>
    </row>
    <row r="31" spans="1:13">
      <c r="B31" s="282"/>
    </row>
    <row r="32" spans="1:13">
      <c r="B32" s="282"/>
    </row>
    <row r="36" spans="8:8">
      <c r="H36" s="269" t="s">
        <v>139</v>
      </c>
    </row>
  </sheetData>
  <phoneticPr fontId="46" type="noConversion"/>
  <pageMargins left="0.7" right="0.7" top="0.75" bottom="0.75" header="0.3" footer="0.3"/>
  <pageSetup paperSize="9" orientation="portrait" horizontalDpi="0" verticalDpi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62943-D40E-6B47-9184-34C7C829A3A8}">
  <dimension ref="A1:M36"/>
  <sheetViews>
    <sheetView zoomScale="200" workbookViewId="0">
      <selection activeCell="G34" sqref="G34"/>
    </sheetView>
  </sheetViews>
  <sheetFormatPr baseColWidth="10" defaultColWidth="9" defaultRowHeight="14"/>
  <cols>
    <col min="2" max="2" width="20.1640625" customWidth="1"/>
    <col min="3" max="3" width="21.83203125" style="281" customWidth="1"/>
    <col min="4" max="4" width="12.5" style="281" customWidth="1"/>
    <col min="5" max="5" width="9.6640625" style="281" bestFit="1" customWidth="1"/>
    <col min="6" max="6" width="21.33203125" style="281" bestFit="1" customWidth="1"/>
    <col min="7" max="7" width="21.83203125" style="281" customWidth="1"/>
    <col min="8" max="8" width="10.6640625" style="281" bestFit="1" customWidth="1"/>
    <col min="9" max="9" width="15.6640625" style="281" customWidth="1"/>
    <col min="10" max="12" width="10.6640625" style="281" bestFit="1" customWidth="1"/>
    <col min="13" max="13" width="14.83203125" style="28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144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0.05</v>
      </c>
      <c r="I3" s="12">
        <v>0.1</v>
      </c>
      <c r="J3" s="12">
        <v>0.05</v>
      </c>
      <c r="K3" s="12">
        <v>0.05</v>
      </c>
      <c r="L3" s="12">
        <v>0.01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4072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83" t="s">
        <v>6</v>
      </c>
      <c r="F6" s="283"/>
      <c r="G6" s="28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0.03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84" t="s">
        <v>12</v>
      </c>
      <c r="C10" s="30">
        <v>2024</v>
      </c>
      <c r="D10" s="285">
        <v>2025</v>
      </c>
      <c r="E10" s="285">
        <v>2026</v>
      </c>
      <c r="F10" s="285">
        <v>2027</v>
      </c>
      <c r="G10" s="285">
        <v>2028</v>
      </c>
      <c r="H10" s="285">
        <v>2029</v>
      </c>
      <c r="I10" s="285">
        <v>2030</v>
      </c>
      <c r="J10" s="285">
        <v>2031</v>
      </c>
      <c r="K10" s="285">
        <v>2032</v>
      </c>
      <c r="L10" s="285">
        <v>2033</v>
      </c>
      <c r="M10" s="285">
        <v>2034</v>
      </c>
    </row>
    <row r="11" spans="1:13" ht="18" thickBot="1">
      <c r="A11" s="2"/>
      <c r="B11" s="7" t="s">
        <v>13</v>
      </c>
      <c r="C11" s="32">
        <v>940.16</v>
      </c>
      <c r="D11" s="33">
        <f>C11*(1+H3)</f>
        <v>987.16800000000001</v>
      </c>
      <c r="E11" s="33">
        <f>D11*(1+$I$3)</f>
        <v>1085.8848</v>
      </c>
      <c r="F11" s="33">
        <f>E11*(1+$J$3)</f>
        <v>1140.17904</v>
      </c>
      <c r="G11" s="33">
        <f>F11*(1+$K$3)</f>
        <v>1197.1879920000001</v>
      </c>
      <c r="H11" s="33">
        <f>G11*(1+$L$3)</f>
        <v>1209.1598719200001</v>
      </c>
      <c r="I11" s="33">
        <f>H11*(1+$C$8)</f>
        <v>1245.4346680776002</v>
      </c>
      <c r="J11" s="33">
        <f>I11*(1+$C$8)</f>
        <v>1282.7977081199283</v>
      </c>
      <c r="K11" s="33">
        <f>J11*(1+$C$8)</f>
        <v>1321.2816393635262</v>
      </c>
      <c r="L11" s="33">
        <f>K11*(1+$C$8)</f>
        <v>1360.920088544432</v>
      </c>
      <c r="M11" s="33">
        <f>L11*(1+$C$8)</f>
        <v>1401.7476912007651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19157.218446410454</v>
      </c>
    </row>
    <row r="13" spans="1:13" ht="20" thickBot="1">
      <c r="A13" s="2"/>
      <c r="B13" s="35" t="s">
        <v>15</v>
      </c>
      <c r="C13" s="34"/>
      <c r="D13" s="33">
        <f t="shared" ref="D13:L13" si="0">D11</f>
        <v>987.16800000000001</v>
      </c>
      <c r="E13" s="33">
        <f t="shared" si="0"/>
        <v>1085.8848</v>
      </c>
      <c r="F13" s="33">
        <f t="shared" si="0"/>
        <v>1140.17904</v>
      </c>
      <c r="G13" s="33">
        <f t="shared" si="0"/>
        <v>1197.1879920000001</v>
      </c>
      <c r="H13" s="33">
        <f t="shared" si="0"/>
        <v>1209.1598719200001</v>
      </c>
      <c r="I13" s="33">
        <f t="shared" si="0"/>
        <v>1245.4346680776002</v>
      </c>
      <c r="J13" s="33">
        <f t="shared" si="0"/>
        <v>1282.7977081199283</v>
      </c>
      <c r="K13" s="33">
        <f t="shared" si="0"/>
        <v>1321.2816393635262</v>
      </c>
      <c r="L13" s="33">
        <f t="shared" si="0"/>
        <v>1360.920088544432</v>
      </c>
      <c r="M13" s="60">
        <f>M11+M12</f>
        <v>20558.96613761122</v>
      </c>
    </row>
    <row r="14" spans="1:13" ht="15" thickBot="1">
      <c r="A14" s="2"/>
      <c r="B14" s="36" t="s">
        <v>35</v>
      </c>
      <c r="C14" s="37">
        <f>C11/J5</f>
        <v>0.23088408644400785</v>
      </c>
      <c r="D14" s="37">
        <f>C14*(1+$H$3)/(1+$H$4)</f>
        <v>0.18648330058939097</v>
      </c>
      <c r="E14" s="37">
        <f>D14*(1+$I$3)/(1+$I$4)</f>
        <v>0.15779356203717698</v>
      </c>
      <c r="F14" s="37">
        <f>E14*(1+$J$3)/(1+$J$4)</f>
        <v>0.13806936678252987</v>
      </c>
      <c r="G14" s="37">
        <f>F14*(1+$K$3)/(1+$K$4)</f>
        <v>0.12081069593471365</v>
      </c>
      <c r="H14" s="37">
        <f>G14*(1+$L$3)/(1+$L$4)</f>
        <v>0.10168233574505066</v>
      </c>
      <c r="I14" s="61">
        <f>H14*(1+$C$8)/(1+$J$8)</f>
        <v>9.5211641652183793E-2</v>
      </c>
      <c r="J14" s="61">
        <f>I14*(1+$C$8)/(1+$J$8)</f>
        <v>8.9152719001590275E-2</v>
      </c>
      <c r="K14" s="61">
        <f>J14*(1+$C$8)/(1+$J$8)</f>
        <v>8.3479364156034533E-2</v>
      </c>
      <c r="L14" s="61">
        <f>K14*(1+$C$8)/(1+$J$8)</f>
        <v>7.8167040982468697E-2</v>
      </c>
      <c r="M14" s="61">
        <f>L14*(1+$C$8)/(1+$J$8)</f>
        <v>7.3192774738129768E-2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84" t="s">
        <v>16</v>
      </c>
      <c r="C16" s="285"/>
      <c r="D16" s="40"/>
      <c r="E16" s="286" t="s">
        <v>80</v>
      </c>
      <c r="F16" s="287">
        <f>C22</f>
        <v>214.97226964288311</v>
      </c>
      <c r="G16" s="28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14701.188448215869</v>
      </c>
      <c r="D17" s="40"/>
      <c r="E17" s="287"/>
      <c r="F17" s="287"/>
      <c r="G17" s="28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186.12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1774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85">
        <f>C17+C18-C19</f>
        <v>13113.30844821587</v>
      </c>
      <c r="D20" s="47"/>
      <c r="E20" s="288" t="s">
        <v>22</v>
      </c>
      <c r="F20" s="289">
        <f>C23</f>
        <v>127.76</v>
      </c>
      <c r="G20" s="28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61</v>
      </c>
      <c r="D21" s="47"/>
      <c r="E21" s="288"/>
      <c r="F21" s="289"/>
      <c r="G21" s="28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214.97226964288311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127.76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0.68262577992237861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80" t="s">
        <v>36</v>
      </c>
    </row>
    <row r="30" spans="1:13">
      <c r="B30" s="282"/>
    </row>
    <row r="31" spans="1:13">
      <c r="B31" s="282"/>
    </row>
    <row r="32" spans="1:13">
      <c r="B32" s="28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7B834-5ADA-0A41-95A1-8457F0A48DA5}">
  <dimension ref="A1:M36"/>
  <sheetViews>
    <sheetView zoomScale="150" workbookViewId="0">
      <selection activeCell="K20" sqref="K20"/>
    </sheetView>
  </sheetViews>
  <sheetFormatPr baseColWidth="10" defaultColWidth="9" defaultRowHeight="14"/>
  <cols>
    <col min="2" max="2" width="20.1640625" customWidth="1"/>
    <col min="3" max="3" width="21.83203125" style="281" customWidth="1"/>
    <col min="4" max="4" width="12.5" style="281" customWidth="1"/>
    <col min="5" max="5" width="9.6640625" style="281" bestFit="1" customWidth="1"/>
    <col min="6" max="6" width="21.33203125" style="281" bestFit="1" customWidth="1"/>
    <col min="7" max="7" width="21.83203125" style="281" customWidth="1"/>
    <col min="8" max="8" width="10.6640625" style="281" bestFit="1" customWidth="1"/>
    <col min="9" max="9" width="15.6640625" style="281" customWidth="1"/>
    <col min="10" max="12" width="10.6640625" style="281" bestFit="1" customWidth="1"/>
    <col min="13" max="13" width="14.83203125" style="28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145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93954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83" t="s">
        <v>6</v>
      </c>
      <c r="F6" s="283"/>
      <c r="G6" s="28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84" t="s">
        <v>12</v>
      </c>
      <c r="C10" s="30">
        <v>2024</v>
      </c>
      <c r="D10" s="285">
        <v>2025</v>
      </c>
      <c r="E10" s="285">
        <v>2026</v>
      </c>
      <c r="F10" s="285">
        <v>2027</v>
      </c>
      <c r="G10" s="285">
        <v>2028</v>
      </c>
      <c r="H10" s="285">
        <v>2029</v>
      </c>
      <c r="I10" s="285">
        <v>2030</v>
      </c>
      <c r="J10" s="285">
        <v>2031</v>
      </c>
      <c r="K10" s="285">
        <v>2032</v>
      </c>
      <c r="L10" s="285">
        <v>2033</v>
      </c>
      <c r="M10" s="285">
        <v>2034</v>
      </c>
    </row>
    <row r="11" spans="1:13" ht="18" thickBot="1">
      <c r="A11" s="2"/>
      <c r="B11" s="7" t="s">
        <v>13</v>
      </c>
      <c r="C11" s="32">
        <v>4040.16</v>
      </c>
      <c r="D11" s="33">
        <f>C11*(1+H3)</f>
        <v>4444.1760000000004</v>
      </c>
      <c r="E11" s="33">
        <f>D11*(1+$I$3)</f>
        <v>4888.5936000000011</v>
      </c>
      <c r="F11" s="33">
        <f>E11*(1+$J$3)</f>
        <v>5377.4529600000014</v>
      </c>
      <c r="G11" s="33">
        <f>F11*(1+$K$3)</f>
        <v>5915.1982560000024</v>
      </c>
      <c r="H11" s="33">
        <f>G11*(1+$L$3)</f>
        <v>6506.7180816000027</v>
      </c>
      <c r="I11" s="33">
        <f>H11*(1+$C$8)</f>
        <v>6832.0539856800033</v>
      </c>
      <c r="J11" s="33">
        <f>I11*(1+$C$8)</f>
        <v>7173.6566849640039</v>
      </c>
      <c r="K11" s="33">
        <f>J11*(1+$C$8)</f>
        <v>7532.3395192122043</v>
      </c>
      <c r="L11" s="33">
        <f>K11*(1+$C$8)</f>
        <v>7908.9564951728153</v>
      </c>
      <c r="M11" s="33">
        <f>L11*(1+$C$8)</f>
        <v>8304.4043199314565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113493.52570572987</v>
      </c>
    </row>
    <row r="13" spans="1:13" ht="20" thickBot="1">
      <c r="A13" s="2"/>
      <c r="B13" s="35" t="s">
        <v>15</v>
      </c>
      <c r="C13" s="34"/>
      <c r="D13" s="33">
        <f t="shared" ref="D13:L13" si="0">D11</f>
        <v>4444.1760000000004</v>
      </c>
      <c r="E13" s="33">
        <f t="shared" si="0"/>
        <v>4888.5936000000011</v>
      </c>
      <c r="F13" s="33">
        <f t="shared" si="0"/>
        <v>5377.4529600000014</v>
      </c>
      <c r="G13" s="33">
        <f t="shared" si="0"/>
        <v>5915.1982560000024</v>
      </c>
      <c r="H13" s="33">
        <f t="shared" si="0"/>
        <v>6506.7180816000027</v>
      </c>
      <c r="I13" s="33">
        <f t="shared" si="0"/>
        <v>6832.0539856800033</v>
      </c>
      <c r="J13" s="33">
        <f t="shared" si="0"/>
        <v>7173.6566849640039</v>
      </c>
      <c r="K13" s="33">
        <f t="shared" si="0"/>
        <v>7532.3395192122043</v>
      </c>
      <c r="L13" s="33">
        <f t="shared" si="0"/>
        <v>7908.9564951728153</v>
      </c>
      <c r="M13" s="60">
        <f>M11+M12</f>
        <v>121797.93002566134</v>
      </c>
    </row>
    <row r="14" spans="1:13" ht="15" thickBot="1">
      <c r="A14" s="2"/>
      <c r="B14" s="36" t="s">
        <v>35</v>
      </c>
      <c r="C14" s="37">
        <f>C11/J5</f>
        <v>4.3001468803882746E-2</v>
      </c>
      <c r="D14" s="37">
        <f>C14*(1+$H$3)/(1+$H$4)</f>
        <v>3.638585821867002E-2</v>
      </c>
      <c r="E14" s="37">
        <f>D14*(1+$I$3)/(1+$I$4)</f>
        <v>3.0788033877336172E-2</v>
      </c>
      <c r="F14" s="37">
        <f>E14*(1+$J$3)/(1+$J$4)</f>
        <v>2.8222364387558159E-2</v>
      </c>
      <c r="G14" s="37">
        <f>F14*(1+$K$3)/(1+$K$4)</f>
        <v>2.5870500688594981E-2</v>
      </c>
      <c r="H14" s="37">
        <f>G14*(1+$L$3)/(1+$L$4)</f>
        <v>2.3714625631212068E-2</v>
      </c>
      <c r="I14" s="61">
        <f>H14*(1+$C$8)/(1+$J$8)</f>
        <v>2.2636688102520609E-2</v>
      </c>
      <c r="J14" s="61">
        <f>I14*(1+$C$8)/(1+$J$8)</f>
        <v>2.1607747734224216E-2</v>
      </c>
      <c r="K14" s="61">
        <f>J14*(1+$C$8)/(1+$J$8)</f>
        <v>2.062557738266857E-2</v>
      </c>
      <c r="L14" s="61">
        <f>K14*(1+$C$8)/(1+$J$8)</f>
        <v>1.9688051138001816E-2</v>
      </c>
      <c r="M14" s="61">
        <f>L14*(1+$C$8)/(1+$J$8)</f>
        <v>1.8793139722638096E-2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84" t="s">
        <v>16</v>
      </c>
      <c r="C16" s="285"/>
      <c r="D16" s="40"/>
      <c r="E16" s="286" t="s">
        <v>80</v>
      </c>
      <c r="F16" s="287">
        <f>C22</f>
        <v>84.237531362015588</v>
      </c>
      <c r="G16" s="28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81564.972706099288</v>
      </c>
      <c r="D17" s="40"/>
      <c r="E17" s="287"/>
      <c r="F17" s="287"/>
      <c r="G17" s="28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5285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25862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85">
        <f>C17+C18-C19</f>
        <v>60987.972706099288</v>
      </c>
      <c r="D20" s="47"/>
      <c r="E20" s="288" t="s">
        <v>22</v>
      </c>
      <c r="F20" s="289">
        <f>C23</f>
        <v>117.33</v>
      </c>
      <c r="G20" s="28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724</v>
      </c>
      <c r="D21" s="47"/>
      <c r="E21" s="288"/>
      <c r="F21" s="289"/>
      <c r="G21" s="28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84.237531362015588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117.33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-0.28204609765605054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80" t="s">
        <v>36</v>
      </c>
    </row>
    <row r="30" spans="1:13">
      <c r="B30" s="282"/>
    </row>
    <row r="31" spans="1:13">
      <c r="B31" s="282"/>
    </row>
    <row r="32" spans="1:13">
      <c r="B32" s="28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2"/>
  <sheetViews>
    <sheetView zoomScale="150" workbookViewId="0">
      <selection activeCell="G39" sqref="G39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5">
      <c r="A2" s="2"/>
      <c r="B2" s="4" t="s">
        <v>0</v>
      </c>
      <c r="C2" s="5" t="s">
        <v>28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1</v>
      </c>
      <c r="C3" s="8">
        <v>0.2</v>
      </c>
      <c r="D3" s="6"/>
      <c r="E3" s="9" t="s">
        <v>2</v>
      </c>
      <c r="F3" s="10"/>
      <c r="G3" s="11" t="s">
        <v>29</v>
      </c>
      <c r="H3" s="12">
        <v>0.8</v>
      </c>
      <c r="I3" s="12">
        <v>0.5</v>
      </c>
      <c r="J3" s="12">
        <v>0.3</v>
      </c>
      <c r="K3" s="12">
        <v>0.3</v>
      </c>
      <c r="L3" s="12">
        <v>0.2</v>
      </c>
      <c r="M3" s="6"/>
    </row>
    <row r="4" spans="1:13" ht="18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0.8</v>
      </c>
      <c r="I4" s="12">
        <v>0.3</v>
      </c>
      <c r="J4" s="12">
        <v>0.2</v>
      </c>
      <c r="K4" s="12">
        <v>0.1</v>
      </c>
      <c r="L4" s="12">
        <v>0.1</v>
      </c>
      <c r="M4" s="6"/>
    </row>
    <row r="5" spans="1:13" ht="17" customHeigh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79774</v>
      </c>
      <c r="K5" s="6"/>
      <c r="L5" s="6"/>
      <c r="M5" s="6"/>
    </row>
    <row r="6" spans="1:13" ht="34">
      <c r="A6" s="2"/>
      <c r="B6" s="7" t="s">
        <v>5</v>
      </c>
      <c r="C6" s="13">
        <v>0.1</v>
      </c>
      <c r="D6" s="6"/>
      <c r="E6" s="455" t="s">
        <v>6</v>
      </c>
      <c r="F6" s="455"/>
      <c r="G6" s="455"/>
      <c r="H6" s="6"/>
      <c r="I6" s="6"/>
      <c r="J6" s="6"/>
      <c r="K6" s="6"/>
      <c r="L6" s="6"/>
      <c r="M6" s="6"/>
    </row>
    <row r="7" spans="1:13" ht="17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30">
        <v>2022</v>
      </c>
      <c r="D10" s="31">
        <v>2023</v>
      </c>
      <c r="E10" s="31">
        <v>2024</v>
      </c>
      <c r="F10" s="31">
        <v>2025</v>
      </c>
      <c r="G10" s="31">
        <v>2026</v>
      </c>
      <c r="H10" s="31">
        <v>2027</v>
      </c>
      <c r="I10" s="31">
        <v>2028</v>
      </c>
      <c r="J10" s="31">
        <v>2029</v>
      </c>
      <c r="K10" s="31">
        <v>2030</v>
      </c>
      <c r="L10" s="31">
        <v>2031</v>
      </c>
      <c r="M10" s="31">
        <v>2032</v>
      </c>
    </row>
    <row r="11" spans="1:13" ht="17">
      <c r="A11" s="2"/>
      <c r="B11" s="7" t="s">
        <v>13</v>
      </c>
      <c r="C11" s="32">
        <v>39334</v>
      </c>
      <c r="D11" s="33">
        <f>C11*(1+H3)</f>
        <v>70801.2</v>
      </c>
      <c r="E11" s="33">
        <f>D11*(1+$I$3)</f>
        <v>106201.79999999999</v>
      </c>
      <c r="F11" s="33">
        <f>E11*(1+$J$3)</f>
        <v>138062.34</v>
      </c>
      <c r="G11" s="33">
        <f>F11*(1+$K$3)</f>
        <v>179481.04200000002</v>
      </c>
      <c r="H11" s="33">
        <f>G11*(1+$L$3)</f>
        <v>215377.25040000002</v>
      </c>
      <c r="I11" s="33">
        <f>H11*(1+$C$8)</f>
        <v>236914.97544000004</v>
      </c>
      <c r="J11" s="33">
        <f>I11*(1+$C$8)</f>
        <v>260606.47298400005</v>
      </c>
      <c r="K11" s="33">
        <f>J11*(1+$C$8)</f>
        <v>286667.12028240005</v>
      </c>
      <c r="L11" s="33">
        <f>K11*(1+$C$8)</f>
        <v>315333.83231064008</v>
      </c>
      <c r="M11" s="33">
        <f>L11*(1+$C$8)</f>
        <v>346867.21554170409</v>
      </c>
    </row>
    <row r="12" spans="1:13" ht="17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4740518.6124032885</v>
      </c>
    </row>
    <row r="13" spans="1:13" ht="19">
      <c r="A13" s="2"/>
      <c r="B13" s="35" t="s">
        <v>15</v>
      </c>
      <c r="C13" s="34"/>
      <c r="D13" s="33">
        <f t="shared" ref="D13:L13" si="0">D11</f>
        <v>70801.2</v>
      </c>
      <c r="E13" s="33">
        <f t="shared" si="0"/>
        <v>106201.79999999999</v>
      </c>
      <c r="F13" s="33">
        <f t="shared" si="0"/>
        <v>138062.34</v>
      </c>
      <c r="G13" s="33">
        <f t="shared" si="0"/>
        <v>179481.04200000002</v>
      </c>
      <c r="H13" s="33">
        <f t="shared" si="0"/>
        <v>215377.25040000002</v>
      </c>
      <c r="I13" s="33">
        <f t="shared" si="0"/>
        <v>236914.97544000004</v>
      </c>
      <c r="J13" s="33">
        <f t="shared" si="0"/>
        <v>260606.47298400005</v>
      </c>
      <c r="K13" s="33">
        <f t="shared" si="0"/>
        <v>286667.12028240005</v>
      </c>
      <c r="L13" s="33">
        <f t="shared" si="0"/>
        <v>315333.83231064008</v>
      </c>
      <c r="M13" s="60">
        <f>M11+M12</f>
        <v>5087385.8279449921</v>
      </c>
    </row>
    <row r="14" spans="1:13">
      <c r="A14" s="2"/>
      <c r="B14" s="36" t="s">
        <v>35</v>
      </c>
      <c r="C14" s="37">
        <f>C11/J5</f>
        <v>0.49306791686514401</v>
      </c>
      <c r="D14" s="37">
        <f>C14*(1+$H$3)/(1+$J$7)</f>
        <v>0.63394446454089948</v>
      </c>
      <c r="E14" s="37">
        <f>D14*(1+$I$3)/(1+$J$7)</f>
        <v>0.67922621200810662</v>
      </c>
      <c r="F14" s="37">
        <f>E14*(1+$J$3)/(1+$J$7)</f>
        <v>0.63071005400752767</v>
      </c>
      <c r="G14" s="37">
        <f>F14*(1+$K$3)/(1+$J$7)</f>
        <v>0.58565933586413288</v>
      </c>
      <c r="H14" s="37">
        <f>G14*(1+$L$3)/(1+$J$7)</f>
        <v>0.50199371645497104</v>
      </c>
      <c r="I14" s="61">
        <f>H14*(1+$C$8)/(1+$J$8)</f>
        <v>0.50199371645497104</v>
      </c>
      <c r="J14" s="61">
        <f>I14*(1+$C$8)/(1+$J$8)</f>
        <v>0.50199371645497104</v>
      </c>
      <c r="K14" s="61">
        <f>J14*(1+$C$8)/(1+$J$8)</f>
        <v>0.50199371645497104</v>
      </c>
      <c r="L14" s="61">
        <f>K14*(1+$C$8)/(1+$J$8)</f>
        <v>0.50199371645497104</v>
      </c>
      <c r="M14" s="61">
        <f>L14*(1+$C$8)/(1+$J$8)</f>
        <v>0.50199371645497104</v>
      </c>
    </row>
    <row r="15" spans="1:13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40"/>
      <c r="E16" s="458" t="s">
        <v>17</v>
      </c>
      <c r="F16" s="459">
        <f>C22</f>
        <v>121.69414058475496</v>
      </c>
      <c r="G16" s="459"/>
      <c r="H16" s="6"/>
      <c r="I16" s="6"/>
      <c r="J16" s="6"/>
      <c r="K16" s="6"/>
      <c r="L16" s="6"/>
      <c r="M16" s="6"/>
    </row>
    <row r="17" spans="1:13" ht="17">
      <c r="A17" s="2"/>
      <c r="B17" s="41" t="s">
        <v>18</v>
      </c>
      <c r="C17" s="42">
        <f>NPV(C6,D13:M13)</f>
        <v>3008520.1591545511</v>
      </c>
      <c r="D17" s="40"/>
      <c r="E17" s="459"/>
      <c r="F17" s="459"/>
      <c r="G17" s="459"/>
      <c r="H17" s="6"/>
      <c r="I17" s="6"/>
      <c r="J17" s="6"/>
      <c r="K17" s="6"/>
      <c r="L17" s="6"/>
      <c r="M17" s="6"/>
    </row>
    <row r="18" spans="1:13" ht="17">
      <c r="A18" s="2"/>
      <c r="B18" s="43" t="s">
        <v>19</v>
      </c>
      <c r="C18" s="44">
        <v>31438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20</v>
      </c>
      <c r="C19" s="32">
        <v>10991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7">
      <c r="A20" s="2"/>
      <c r="B20" s="46" t="s">
        <v>21</v>
      </c>
      <c r="C20" s="31">
        <f>C17+C18-C19</f>
        <v>3028967.1591545511</v>
      </c>
      <c r="D20" s="47"/>
      <c r="E20" s="460" t="s">
        <v>22</v>
      </c>
      <c r="F20" s="461">
        <f>C23</f>
        <v>120</v>
      </c>
      <c r="G20" s="461"/>
      <c r="H20" s="6"/>
      <c r="I20" s="6"/>
      <c r="J20" s="6"/>
      <c r="K20" s="6"/>
      <c r="L20" s="6"/>
      <c r="M20" s="6"/>
    </row>
    <row r="21" spans="1:13" ht="17">
      <c r="A21" s="2"/>
      <c r="B21" s="48" t="s">
        <v>23</v>
      </c>
      <c r="C21" s="49">
        <v>24890</v>
      </c>
      <c r="D21" s="47"/>
      <c r="E21" s="460"/>
      <c r="F21" s="461"/>
      <c r="G21" s="461"/>
      <c r="H21" s="6"/>
      <c r="I21" s="6"/>
      <c r="J21" s="6"/>
      <c r="K21" s="6"/>
      <c r="L21" s="6"/>
      <c r="M21" s="6"/>
    </row>
    <row r="22" spans="1:13" ht="17">
      <c r="A22" s="50"/>
      <c r="B22" s="51" t="s">
        <v>24</v>
      </c>
      <c r="C22" s="52">
        <f>C20/C21</f>
        <v>121.69414058475496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7">
      <c r="A23" s="2"/>
      <c r="B23" s="43" t="s">
        <v>25</v>
      </c>
      <c r="C23" s="53">
        <v>120</v>
      </c>
      <c r="D23" s="6"/>
      <c r="E23" s="6"/>
      <c r="F23" s="6"/>
      <c r="G23" s="6"/>
      <c r="H23" s="6"/>
      <c r="I23" s="6"/>
      <c r="J23" s="6"/>
      <c r="K23" s="6"/>
      <c r="L23" s="6"/>
      <c r="M23" s="6"/>
    </row>
    <row r="24" spans="1:13" ht="19">
      <c r="A24" s="2"/>
      <c r="B24" s="54" t="s">
        <v>26</v>
      </c>
      <c r="C24" s="55">
        <f>(C22-C23)/C23</f>
        <v>1.4117838206291347E-2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7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7">
    <mergeCell ref="B29:D32"/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EBB1E-B8FB-0448-9EE1-90CEF2AE5B99}">
  <dimension ref="A1:M36"/>
  <sheetViews>
    <sheetView zoomScale="138" workbookViewId="0">
      <selection activeCell="F28" sqref="F28"/>
    </sheetView>
  </sheetViews>
  <sheetFormatPr baseColWidth="10" defaultColWidth="9" defaultRowHeight="14"/>
  <cols>
    <col min="2" max="2" width="20.1640625" customWidth="1"/>
    <col min="3" max="3" width="21.83203125" style="291" customWidth="1"/>
    <col min="4" max="4" width="12.5" style="291" customWidth="1"/>
    <col min="5" max="5" width="9.6640625" style="291" bestFit="1" customWidth="1"/>
    <col min="6" max="6" width="21.33203125" style="291" bestFit="1" customWidth="1"/>
    <col min="7" max="7" width="21.83203125" style="291" customWidth="1"/>
    <col min="8" max="8" width="10.6640625" style="291" bestFit="1" customWidth="1"/>
    <col min="9" max="9" width="15.6640625" style="291" customWidth="1"/>
    <col min="10" max="12" width="10.6640625" style="291" bestFit="1" customWidth="1"/>
    <col min="13" max="13" width="14.83203125" style="29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146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</v>
      </c>
      <c r="I3" s="12">
        <v>0.2</v>
      </c>
      <c r="J3" s="12">
        <v>0.1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1371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293" t="s">
        <v>6</v>
      </c>
      <c r="F6" s="293"/>
      <c r="G6" s="29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294" t="s">
        <v>12</v>
      </c>
      <c r="C10" s="30">
        <v>2024</v>
      </c>
      <c r="D10" s="295">
        <v>2025</v>
      </c>
      <c r="E10" s="295">
        <v>2026</v>
      </c>
      <c r="F10" s="295">
        <v>2027</v>
      </c>
      <c r="G10" s="295">
        <v>2028</v>
      </c>
      <c r="H10" s="295">
        <v>2029</v>
      </c>
      <c r="I10" s="295">
        <v>2030</v>
      </c>
      <c r="J10" s="295">
        <v>2031</v>
      </c>
      <c r="K10" s="295">
        <v>2032</v>
      </c>
      <c r="L10" s="295">
        <v>2033</v>
      </c>
      <c r="M10" s="295">
        <v>2034</v>
      </c>
    </row>
    <row r="11" spans="1:13" ht="18" thickBot="1">
      <c r="A11" s="2"/>
      <c r="B11" s="7" t="s">
        <v>13</v>
      </c>
      <c r="C11" s="32">
        <v>240</v>
      </c>
      <c r="D11" s="33">
        <f>C11*(1+H3)</f>
        <v>288</v>
      </c>
      <c r="E11" s="33">
        <f>D11*(1+$I$3)</f>
        <v>345.59999999999997</v>
      </c>
      <c r="F11" s="33">
        <f>E11*(1+$J$3)</f>
        <v>380.15999999999997</v>
      </c>
      <c r="G11" s="33">
        <f>F11*(1+$K$3)</f>
        <v>418.17599999999999</v>
      </c>
      <c r="H11" s="33">
        <f>G11*(1+$L$3)</f>
        <v>459.99360000000001</v>
      </c>
      <c r="I11" s="33">
        <f>H11*(1+$C$8)</f>
        <v>505.99296000000004</v>
      </c>
      <c r="J11" s="33">
        <f>I11*(1+$C$8)</f>
        <v>556.59225600000013</v>
      </c>
      <c r="K11" s="33">
        <f>J11*(1+$C$8)</f>
        <v>612.25148160000015</v>
      </c>
      <c r="L11" s="33">
        <f>K11*(1+$C$8)</f>
        <v>673.47662976000026</v>
      </c>
      <c r="M11" s="33">
        <f>L11*(1+$C$8)</f>
        <v>740.8242927360003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10124.598667392002</v>
      </c>
    </row>
    <row r="13" spans="1:13" ht="20" thickBot="1">
      <c r="A13" s="2"/>
      <c r="B13" s="35" t="s">
        <v>15</v>
      </c>
      <c r="C13" s="34"/>
      <c r="D13" s="33">
        <f t="shared" ref="D13:L13" si="0">D11</f>
        <v>288</v>
      </c>
      <c r="E13" s="33">
        <f t="shared" si="0"/>
        <v>345.59999999999997</v>
      </c>
      <c r="F13" s="33">
        <f t="shared" si="0"/>
        <v>380.15999999999997</v>
      </c>
      <c r="G13" s="33">
        <f t="shared" si="0"/>
        <v>418.17599999999999</v>
      </c>
      <c r="H13" s="33">
        <f t="shared" si="0"/>
        <v>459.99360000000001</v>
      </c>
      <c r="I13" s="33">
        <f t="shared" si="0"/>
        <v>505.99296000000004</v>
      </c>
      <c r="J13" s="33">
        <f t="shared" si="0"/>
        <v>556.59225600000013</v>
      </c>
      <c r="K13" s="33">
        <f t="shared" si="0"/>
        <v>612.25148160000015</v>
      </c>
      <c r="L13" s="33">
        <f t="shared" si="0"/>
        <v>673.47662976000026</v>
      </c>
      <c r="M13" s="60">
        <f>M11+M12</f>
        <v>10865.422960128002</v>
      </c>
    </row>
    <row r="14" spans="1:13" ht="15" thickBot="1">
      <c r="A14" s="2"/>
      <c r="B14" s="36" t="s">
        <v>35</v>
      </c>
      <c r="C14" s="37">
        <f>C11/J5</f>
        <v>0.17505470459518599</v>
      </c>
      <c r="D14" s="37">
        <f>C14*(1+$H$3)/(1+$H$4)</f>
        <v>0.16158895808786397</v>
      </c>
      <c r="E14" s="37">
        <f>D14*(1+$I$3)/(1+$I$4)</f>
        <v>0.14915903823495136</v>
      </c>
      <c r="F14" s="37">
        <f>E14*(1+$J$3)/(1+$J$4)</f>
        <v>0.13672911838203874</v>
      </c>
      <c r="G14" s="37">
        <f>F14*(1+$K$3)/(1+$K$4)</f>
        <v>0.12533502518353554</v>
      </c>
      <c r="H14" s="37">
        <f>G14*(1+$L$3)/(1+$L$4)</f>
        <v>0.11489043975157424</v>
      </c>
      <c r="I14" s="61">
        <f>H14*(1+$C$8)/(1+$J$8)</f>
        <v>0.11489043975157426</v>
      </c>
      <c r="J14" s="61">
        <f>I14*(1+$C$8)/(1+$J$8)</f>
        <v>0.11489043975157426</v>
      </c>
      <c r="K14" s="61">
        <f>J14*(1+$C$8)/(1+$J$8)</f>
        <v>0.11489043975157426</v>
      </c>
      <c r="L14" s="61">
        <f>K14*(1+$C$8)/(1+$J$8)</f>
        <v>0.11489043975157426</v>
      </c>
      <c r="M14" s="61">
        <f>L14*(1+$C$8)/(1+$J$8)</f>
        <v>0.11489043975157426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294" t="s">
        <v>16</v>
      </c>
      <c r="C16" s="295"/>
      <c r="D16" s="40"/>
      <c r="E16" s="296" t="s">
        <v>80</v>
      </c>
      <c r="F16" s="297">
        <f>C22</f>
        <v>32.210032778882017</v>
      </c>
      <c r="G16" s="29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6735.8677685950379</v>
      </c>
      <c r="D17" s="40"/>
      <c r="E17" s="297"/>
      <c r="F17" s="297"/>
      <c r="G17" s="29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903.75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5.84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295">
        <f>C17+C18-C19</f>
        <v>7633.7777685950377</v>
      </c>
      <c r="D20" s="47"/>
      <c r="E20" s="298" t="s">
        <v>22</v>
      </c>
      <c r="F20" s="299">
        <f>C23</f>
        <v>26.34</v>
      </c>
      <c r="G20" s="29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237</v>
      </c>
      <c r="D21" s="47"/>
      <c r="E21" s="298"/>
      <c r="F21" s="299"/>
      <c r="G21" s="29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32.210032778882017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26.34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0.22285621787706975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290" t="s">
        <v>36</v>
      </c>
    </row>
    <row r="30" spans="1:13">
      <c r="B30" s="292"/>
    </row>
    <row r="31" spans="1:13">
      <c r="B31" s="292"/>
    </row>
    <row r="32" spans="1:13">
      <c r="B32" s="29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5DF3-3B41-DE45-B8EC-5FDBF42DD972}">
  <dimension ref="A1:M36"/>
  <sheetViews>
    <sheetView zoomScale="137" workbookViewId="0">
      <selection activeCell="G36" sqref="G36"/>
    </sheetView>
  </sheetViews>
  <sheetFormatPr baseColWidth="10" defaultColWidth="9" defaultRowHeight="14"/>
  <cols>
    <col min="2" max="2" width="20.1640625" customWidth="1"/>
    <col min="3" max="3" width="21.83203125" style="301" customWidth="1"/>
    <col min="4" max="4" width="12.5" style="301" customWidth="1"/>
    <col min="5" max="5" width="9.6640625" style="301" bestFit="1" customWidth="1"/>
    <col min="6" max="6" width="21.33203125" style="301" bestFit="1" customWidth="1"/>
    <col min="7" max="7" width="21.83203125" style="301" customWidth="1"/>
    <col min="8" max="8" width="10.6640625" style="301" bestFit="1" customWidth="1"/>
    <col min="9" max="9" width="15.6640625" style="301" customWidth="1"/>
    <col min="10" max="12" width="10.6640625" style="301" bestFit="1" customWidth="1"/>
    <col min="13" max="13" width="14.83203125" style="30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147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0.08</v>
      </c>
      <c r="I3" s="12">
        <v>0.08</v>
      </c>
      <c r="J3" s="12">
        <v>0.08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260.66000000000003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03" t="s">
        <v>6</v>
      </c>
      <c r="F6" s="303"/>
      <c r="G6" s="30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0.05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04" t="s">
        <v>12</v>
      </c>
      <c r="C10" s="30">
        <v>2024</v>
      </c>
      <c r="D10" s="305">
        <v>2025</v>
      </c>
      <c r="E10" s="305">
        <v>2026</v>
      </c>
      <c r="F10" s="305">
        <v>2027</v>
      </c>
      <c r="G10" s="305">
        <v>2028</v>
      </c>
      <c r="H10" s="305">
        <v>2029</v>
      </c>
      <c r="I10" s="305">
        <v>2030</v>
      </c>
      <c r="J10" s="305">
        <v>2031</v>
      </c>
      <c r="K10" s="305">
        <v>2032</v>
      </c>
      <c r="L10" s="305">
        <v>2033</v>
      </c>
      <c r="M10" s="305">
        <v>2034</v>
      </c>
    </row>
    <row r="11" spans="1:13" ht="18" thickBot="1">
      <c r="A11" s="2"/>
      <c r="B11" s="7" t="s">
        <v>13</v>
      </c>
      <c r="C11" s="32">
        <v>50.15</v>
      </c>
      <c r="D11" s="33">
        <f>C11*(1+H3)</f>
        <v>54.161999999999999</v>
      </c>
      <c r="E11" s="33">
        <f>D11*(1+$I$3)</f>
        <v>58.494960000000006</v>
      </c>
      <c r="F11" s="33">
        <f>E11*(1+$J$3)</f>
        <v>63.174556800000012</v>
      </c>
      <c r="G11" s="33">
        <f>F11*(1+$K$3)</f>
        <v>69.492012480000014</v>
      </c>
      <c r="H11" s="33">
        <f>G11*(1+$L$3)</f>
        <v>76.441213728000022</v>
      </c>
      <c r="I11" s="33">
        <f>H11*(1+$C$8)</f>
        <v>80.26327441440003</v>
      </c>
      <c r="J11" s="33">
        <f>I11*(1+$C$8)</f>
        <v>84.276438135120031</v>
      </c>
      <c r="K11" s="33">
        <f>J11*(1+$C$8)</f>
        <v>88.490260041876041</v>
      </c>
      <c r="L11" s="33">
        <f>K11*(1+$C$8)</f>
        <v>92.914773043969845</v>
      </c>
      <c r="M11" s="33">
        <f>L11*(1+$C$8)</f>
        <v>97.560511696168348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1333.3269931809671</v>
      </c>
    </row>
    <row r="13" spans="1:13" ht="20" thickBot="1">
      <c r="A13" s="2"/>
      <c r="B13" s="35" t="s">
        <v>15</v>
      </c>
      <c r="C13" s="34"/>
      <c r="D13" s="33">
        <f t="shared" ref="D13:L13" si="0">D11</f>
        <v>54.161999999999999</v>
      </c>
      <c r="E13" s="33">
        <f t="shared" si="0"/>
        <v>58.494960000000006</v>
      </c>
      <c r="F13" s="33">
        <f t="shared" si="0"/>
        <v>63.174556800000012</v>
      </c>
      <c r="G13" s="33">
        <f t="shared" si="0"/>
        <v>69.492012480000014</v>
      </c>
      <c r="H13" s="33">
        <f t="shared" si="0"/>
        <v>76.441213728000022</v>
      </c>
      <c r="I13" s="33">
        <f t="shared" si="0"/>
        <v>80.26327441440003</v>
      </c>
      <c r="J13" s="33">
        <f t="shared" si="0"/>
        <v>84.276438135120031</v>
      </c>
      <c r="K13" s="33">
        <f t="shared" si="0"/>
        <v>88.490260041876041</v>
      </c>
      <c r="L13" s="33">
        <f t="shared" si="0"/>
        <v>92.914773043969845</v>
      </c>
      <c r="M13" s="60">
        <f>M11+M12</f>
        <v>1430.8875048771354</v>
      </c>
    </row>
    <row r="14" spans="1:13" ht="15" thickBot="1">
      <c r="A14" s="2"/>
      <c r="B14" s="36" t="s">
        <v>35</v>
      </c>
      <c r="C14" s="37">
        <f>C11/J5</f>
        <v>0.19239622496739045</v>
      </c>
      <c r="D14" s="37">
        <f>C14*(1+$H$3)/(1+$H$4)</f>
        <v>0.15983686381906284</v>
      </c>
      <c r="E14" s="37">
        <f>D14*(1+$I$3)/(1+$I$4)</f>
        <v>0.13278754840352913</v>
      </c>
      <c r="F14" s="37">
        <f>E14*(1+$J$3)/(1+$J$4)</f>
        <v>0.11950879356317624</v>
      </c>
      <c r="G14" s="37">
        <f>F14*(1+$K$3)/(1+$K$4)</f>
        <v>0.10954972743291157</v>
      </c>
      <c r="H14" s="37">
        <f>G14*(1+$L$3)/(1+$L$4)</f>
        <v>0.10042058348016895</v>
      </c>
      <c r="I14" s="61">
        <f>H14*(1+$C$8)/(1+$J$8)</f>
        <v>9.5856011503797633E-2</v>
      </c>
      <c r="J14" s="61">
        <f>I14*(1+$C$8)/(1+$J$8)</f>
        <v>9.1498920071806822E-2</v>
      </c>
      <c r="K14" s="61">
        <f>J14*(1+$C$8)/(1+$J$8)</f>
        <v>8.7339878250361061E-2</v>
      </c>
      <c r="L14" s="61">
        <f>K14*(1+$C$8)/(1+$J$8)</f>
        <v>8.3369883784435564E-2</v>
      </c>
      <c r="M14" s="61">
        <f>L14*(1+$C$8)/(1+$J$8)</f>
        <v>7.9580343612415769E-2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04" t="s">
        <v>16</v>
      </c>
      <c r="C16" s="305"/>
      <c r="D16" s="40"/>
      <c r="E16" s="306" t="s">
        <v>80</v>
      </c>
      <c r="F16" s="307">
        <f>C22</f>
        <v>12.81600184214744</v>
      </c>
      <c r="G16" s="30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960.88209579166676</v>
      </c>
      <c r="D17" s="40"/>
      <c r="E17" s="307"/>
      <c r="F17" s="307"/>
      <c r="G17" s="30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44.84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339.29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05">
        <f>C17+C18-C19</f>
        <v>666.43209579166682</v>
      </c>
      <c r="D20" s="47"/>
      <c r="E20" s="308" t="s">
        <v>22</v>
      </c>
      <c r="F20" s="309">
        <f>C23</f>
        <v>11.91</v>
      </c>
      <c r="G20" s="30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52</v>
      </c>
      <c r="D21" s="47"/>
      <c r="E21" s="308"/>
      <c r="F21" s="309"/>
      <c r="G21" s="30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12.81600184214744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11.91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7.6070683639583511E-2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00" t="s">
        <v>36</v>
      </c>
    </row>
    <row r="30" spans="1:13">
      <c r="B30" s="302"/>
    </row>
    <row r="31" spans="1:13">
      <c r="B31" s="302"/>
    </row>
    <row r="32" spans="1:13">
      <c r="B32" s="30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C338-98FF-B44A-A42C-F8A4CDE5ABD6}">
  <dimension ref="A1:M36"/>
  <sheetViews>
    <sheetView zoomScale="133" workbookViewId="0">
      <selection activeCell="F34" sqref="F34"/>
    </sheetView>
  </sheetViews>
  <sheetFormatPr baseColWidth="10" defaultColWidth="9" defaultRowHeight="14"/>
  <cols>
    <col min="2" max="2" width="20.1640625" customWidth="1"/>
    <col min="3" max="3" width="21.83203125" style="301" customWidth="1"/>
    <col min="4" max="4" width="12.5" style="301" customWidth="1"/>
    <col min="5" max="5" width="15.5" style="301" customWidth="1"/>
    <col min="6" max="6" width="21.33203125" style="301" bestFit="1" customWidth="1"/>
    <col min="7" max="7" width="21.83203125" style="301" customWidth="1"/>
    <col min="8" max="8" width="10.6640625" style="301" bestFit="1" customWidth="1"/>
    <col min="9" max="9" width="15.6640625" style="301" customWidth="1"/>
    <col min="10" max="12" width="10.6640625" style="301" bestFit="1" customWidth="1"/>
    <col min="13" max="13" width="14.83203125" style="30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148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0.2</v>
      </c>
      <c r="D3" s="6"/>
      <c r="E3" s="9" t="s">
        <v>2</v>
      </c>
      <c r="F3" s="10"/>
      <c r="G3" s="11" t="s">
        <v>29</v>
      </c>
      <c r="H3" s="12">
        <v>0.05</v>
      </c>
      <c r="I3" s="12">
        <v>0.05</v>
      </c>
      <c r="J3" s="12">
        <v>0.05</v>
      </c>
      <c r="K3" s="12">
        <v>0.05</v>
      </c>
      <c r="L3" s="12">
        <v>0.05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0.12</v>
      </c>
      <c r="I4" s="12">
        <v>0.1</v>
      </c>
      <c r="J4" s="12">
        <v>0.1</v>
      </c>
      <c r="K4" s="12">
        <v>0.1</v>
      </c>
      <c r="L4" s="12">
        <v>0.1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2405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03" t="s">
        <v>6</v>
      </c>
      <c r="F6" s="303"/>
      <c r="G6" s="30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2.5000000000000001E-2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04" t="s">
        <v>12</v>
      </c>
      <c r="C10" s="30">
        <v>2024</v>
      </c>
      <c r="D10" s="305">
        <v>2025</v>
      </c>
      <c r="E10" s="305">
        <v>2026</v>
      </c>
      <c r="F10" s="305">
        <v>2027</v>
      </c>
      <c r="G10" s="305">
        <v>2028</v>
      </c>
      <c r="H10" s="305">
        <v>2029</v>
      </c>
      <c r="I10" s="305">
        <v>2030</v>
      </c>
      <c r="J10" s="305">
        <v>2031</v>
      </c>
      <c r="K10" s="305">
        <v>2032</v>
      </c>
      <c r="L10" s="305">
        <v>2033</v>
      </c>
      <c r="M10" s="305">
        <v>2034</v>
      </c>
    </row>
    <row r="11" spans="1:13" ht="18" thickBot="1">
      <c r="A11" s="2"/>
      <c r="B11" s="7" t="s">
        <v>13</v>
      </c>
      <c r="C11" s="32">
        <v>377.62</v>
      </c>
      <c r="D11" s="33">
        <f>C11*(1+H3)</f>
        <v>396.50100000000003</v>
      </c>
      <c r="E11" s="33">
        <f>D11*(1+$I$3)</f>
        <v>416.32605000000007</v>
      </c>
      <c r="F11" s="33">
        <f>E11*(1+$J$3)</f>
        <v>437.14235250000007</v>
      </c>
      <c r="G11" s="33">
        <f>F11*(1+$K$3)</f>
        <v>458.99947012500007</v>
      </c>
      <c r="H11" s="33">
        <f>G11*(1+$L$3)</f>
        <v>481.94944363125012</v>
      </c>
      <c r="I11" s="33">
        <f>H11*(1+$C$8)</f>
        <v>493.99817972203135</v>
      </c>
      <c r="J11" s="33">
        <f>I11*(1+$C$8)</f>
        <v>506.3481342150821</v>
      </c>
      <c r="K11" s="33">
        <f>J11*(1+$C$8)</f>
        <v>519.00683757045908</v>
      </c>
      <c r="L11" s="33">
        <f>K11*(1+$C$8)</f>
        <v>531.98200850972046</v>
      </c>
      <c r="M11" s="33">
        <f>L11*(1+$C$8)</f>
        <v>545.28155872246339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7452.1813025403317</v>
      </c>
    </row>
    <row r="13" spans="1:13" ht="20" thickBot="1">
      <c r="A13" s="2"/>
      <c r="B13" s="35" t="s">
        <v>15</v>
      </c>
      <c r="C13" s="34"/>
      <c r="D13" s="33">
        <f t="shared" ref="D13:L13" si="0">D11</f>
        <v>396.50100000000003</v>
      </c>
      <c r="E13" s="33">
        <f t="shared" si="0"/>
        <v>416.32605000000007</v>
      </c>
      <c r="F13" s="33">
        <f t="shared" si="0"/>
        <v>437.14235250000007</v>
      </c>
      <c r="G13" s="33">
        <f t="shared" si="0"/>
        <v>458.99947012500007</v>
      </c>
      <c r="H13" s="33">
        <f t="shared" si="0"/>
        <v>481.94944363125012</v>
      </c>
      <c r="I13" s="33">
        <f t="shared" si="0"/>
        <v>493.99817972203135</v>
      </c>
      <c r="J13" s="33">
        <f t="shared" si="0"/>
        <v>506.3481342150821</v>
      </c>
      <c r="K13" s="33">
        <f t="shared" si="0"/>
        <v>519.00683757045908</v>
      </c>
      <c r="L13" s="33">
        <f t="shared" si="0"/>
        <v>531.98200850972046</v>
      </c>
      <c r="M13" s="60">
        <f>M11+M12</f>
        <v>7997.4628612627948</v>
      </c>
    </row>
    <row r="14" spans="1:13" ht="15" thickBot="1">
      <c r="A14" s="2"/>
      <c r="B14" s="36" t="s">
        <v>35</v>
      </c>
      <c r="C14" s="37">
        <f>C11/J5</f>
        <v>0.15701455301455303</v>
      </c>
      <c r="D14" s="37">
        <f>C14*(1+$H$3)/(1+$H$4)</f>
        <v>0.14720114345114346</v>
      </c>
      <c r="E14" s="37">
        <f>D14*(1+$I$3)/(1+$I$4)</f>
        <v>0.14051018238518237</v>
      </c>
      <c r="F14" s="37">
        <f>E14*(1+$J$3)/(1+$J$4)</f>
        <v>0.1341233559131286</v>
      </c>
      <c r="G14" s="37">
        <f>F14*(1+$K$3)/(1+$K$4)</f>
        <v>0.12802683973525911</v>
      </c>
      <c r="H14" s="37">
        <f>G14*(1+$L$3)/(1+$L$4)</f>
        <v>0.12220743792911096</v>
      </c>
      <c r="I14" s="61">
        <f>H14*(1+$C$8)/(1+$J$8)</f>
        <v>0.11387511261576247</v>
      </c>
      <c r="J14" s="61">
        <f>I14*(1+$C$8)/(1+$J$8)</f>
        <v>0.10611090039196047</v>
      </c>
      <c r="K14" s="61">
        <f>J14*(1+$C$8)/(1+$J$8)</f>
        <v>9.8876066274326796E-2</v>
      </c>
      <c r="L14" s="61">
        <f>K14*(1+$C$8)/(1+$J$8)</f>
        <v>9.2134516301077232E-2</v>
      </c>
      <c r="M14" s="61">
        <f>L14*(1+$C$8)/(1+$J$8)</f>
        <v>8.58526174623674E-2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04" t="s">
        <v>16</v>
      </c>
      <c r="C16" s="305"/>
      <c r="D16" s="40"/>
      <c r="E16" s="306" t="s">
        <v>80</v>
      </c>
      <c r="F16" s="307">
        <f>C22</f>
        <v>119.64408778151642</v>
      </c>
      <c r="G16" s="30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5735.5003012943043</v>
      </c>
      <c r="D17" s="40"/>
      <c r="E17" s="307"/>
      <c r="F17" s="307"/>
      <c r="G17" s="30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715.1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588.04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60">
        <f>C17+C18-C19</f>
        <v>5862.5603012943047</v>
      </c>
      <c r="D20" s="47"/>
      <c r="E20" s="308" t="s">
        <v>22</v>
      </c>
      <c r="F20" s="309">
        <f>C23</f>
        <v>95</v>
      </c>
      <c r="G20" s="30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49</v>
      </c>
      <c r="D21" s="47"/>
      <c r="E21" s="308"/>
      <c r="F21" s="309"/>
      <c r="G21" s="30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119.64408778151642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95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0.25941145033175178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00" t="s">
        <v>36</v>
      </c>
    </row>
    <row r="30" spans="1:13">
      <c r="B30" s="302"/>
    </row>
    <row r="31" spans="1:13">
      <c r="B31" s="302"/>
    </row>
    <row r="32" spans="1:13">
      <c r="B32" s="30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BE83-463F-C143-8252-CFBFD5437FFE}">
  <dimension ref="A1:M36"/>
  <sheetViews>
    <sheetView topLeftCell="A3" zoomScale="137" workbookViewId="0">
      <selection activeCell="J22" sqref="J22:J23"/>
    </sheetView>
  </sheetViews>
  <sheetFormatPr baseColWidth="10" defaultColWidth="9" defaultRowHeight="14"/>
  <cols>
    <col min="2" max="2" width="20.1640625" customWidth="1"/>
    <col min="3" max="3" width="21.83203125" style="311" customWidth="1"/>
    <col min="4" max="4" width="12.5" style="311" customWidth="1"/>
    <col min="5" max="5" width="9.6640625" style="311" bestFit="1" customWidth="1"/>
    <col min="6" max="6" width="21.33203125" style="311" bestFit="1" customWidth="1"/>
    <col min="7" max="7" width="21.83203125" style="311" customWidth="1"/>
    <col min="8" max="8" width="10.6640625" style="311" bestFit="1" customWidth="1"/>
    <col min="9" max="9" width="15.6640625" style="311" customWidth="1"/>
    <col min="10" max="12" width="10.6640625" style="311" bestFit="1" customWidth="1"/>
    <col min="13" max="13" width="14.83203125" style="31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149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806.26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13" t="s">
        <v>6</v>
      </c>
      <c r="F6" s="313"/>
      <c r="G6" s="31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14" t="s">
        <v>12</v>
      </c>
      <c r="C10" s="30">
        <v>2024</v>
      </c>
      <c r="D10" s="315">
        <v>2025</v>
      </c>
      <c r="E10" s="315">
        <v>2026</v>
      </c>
      <c r="F10" s="315">
        <v>2027</v>
      </c>
      <c r="G10" s="315">
        <v>2028</v>
      </c>
      <c r="H10" s="315">
        <v>2029</v>
      </c>
      <c r="I10" s="315">
        <v>2030</v>
      </c>
      <c r="J10" s="315">
        <v>2031</v>
      </c>
      <c r="K10" s="315">
        <v>2032</v>
      </c>
      <c r="L10" s="315">
        <v>2033</v>
      </c>
      <c r="M10" s="315">
        <v>2034</v>
      </c>
    </row>
    <row r="11" spans="1:13" ht="18" thickBot="1">
      <c r="A11" s="2"/>
      <c r="B11" s="7" t="s">
        <v>13</v>
      </c>
      <c r="C11" s="32">
        <v>141.72</v>
      </c>
      <c r="D11" s="33">
        <f>C11*(1+H3)</f>
        <v>155.89200000000002</v>
      </c>
      <c r="E11" s="33">
        <f>D11*(1+$I$3)</f>
        <v>171.48120000000003</v>
      </c>
      <c r="F11" s="33">
        <f>E11*(1+$J$3)</f>
        <v>188.62932000000004</v>
      </c>
      <c r="G11" s="33">
        <f>F11*(1+$K$3)</f>
        <v>207.49225200000006</v>
      </c>
      <c r="H11" s="33">
        <f>G11*(1+$L$3)</f>
        <v>228.24147720000008</v>
      </c>
      <c r="I11" s="33">
        <f>H11*(1+$C$8)</f>
        <v>246.5007953760001</v>
      </c>
      <c r="J11" s="33">
        <f>I11*(1+$C$8)</f>
        <v>266.2208590060801</v>
      </c>
      <c r="K11" s="33">
        <f>J11*(1+$C$8)</f>
        <v>287.5185277265665</v>
      </c>
      <c r="L11" s="33">
        <f>K11*(1+$C$8)</f>
        <v>310.52000994469182</v>
      </c>
      <c r="M11" s="33">
        <f>L11*(1+$C$8)</f>
        <v>335.36161074026717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4583.2753467836501</v>
      </c>
    </row>
    <row r="13" spans="1:13" ht="20" thickBot="1">
      <c r="A13" s="2"/>
      <c r="B13" s="35" t="s">
        <v>15</v>
      </c>
      <c r="C13" s="34"/>
      <c r="D13" s="33">
        <f t="shared" ref="D13:L13" si="0">D11</f>
        <v>155.89200000000002</v>
      </c>
      <c r="E13" s="33">
        <f t="shared" si="0"/>
        <v>171.48120000000003</v>
      </c>
      <c r="F13" s="33">
        <f t="shared" si="0"/>
        <v>188.62932000000004</v>
      </c>
      <c r="G13" s="33">
        <f t="shared" si="0"/>
        <v>207.49225200000006</v>
      </c>
      <c r="H13" s="33">
        <f t="shared" si="0"/>
        <v>228.24147720000008</v>
      </c>
      <c r="I13" s="33">
        <f t="shared" si="0"/>
        <v>246.5007953760001</v>
      </c>
      <c r="J13" s="33">
        <f t="shared" si="0"/>
        <v>266.2208590060801</v>
      </c>
      <c r="K13" s="33">
        <f t="shared" si="0"/>
        <v>287.5185277265665</v>
      </c>
      <c r="L13" s="33">
        <f t="shared" si="0"/>
        <v>310.52000994469182</v>
      </c>
      <c r="M13" s="60">
        <f>M11+M12</f>
        <v>4918.6369575239169</v>
      </c>
    </row>
    <row r="14" spans="1:13" ht="15" thickBot="1">
      <c r="A14" s="2"/>
      <c r="B14" s="36" t="s">
        <v>35</v>
      </c>
      <c r="C14" s="37">
        <f>C11/J5</f>
        <v>0.17577456403641506</v>
      </c>
      <c r="D14" s="37">
        <f>C14*(1+$H$3)/(1+$H$4)</f>
        <v>0.14873232341542814</v>
      </c>
      <c r="E14" s="37">
        <f>D14*(1+$I$3)/(1+$I$4)</f>
        <v>0.12585042750536229</v>
      </c>
      <c r="F14" s="37">
        <f>E14*(1+$J$3)/(1+$J$4)</f>
        <v>0.11536289187991544</v>
      </c>
      <c r="G14" s="37">
        <f>F14*(1+$K$3)/(1+$K$4)</f>
        <v>0.10574931755658916</v>
      </c>
      <c r="H14" s="37">
        <f>G14*(1+$L$3)/(1+$L$4)</f>
        <v>9.6936874426873404E-2</v>
      </c>
      <c r="I14" s="61">
        <f>H14*(1+$C$8)/(1+$J$8)</f>
        <v>9.5174385800930253E-2</v>
      </c>
      <c r="J14" s="61">
        <f>I14*(1+$C$8)/(1+$J$8)</f>
        <v>9.3443942422731519E-2</v>
      </c>
      <c r="K14" s="61">
        <f>J14*(1+$C$8)/(1+$J$8)</f>
        <v>9.1744961651409121E-2</v>
      </c>
      <c r="L14" s="61">
        <f>K14*(1+$C$8)/(1+$J$8)</f>
        <v>9.0076871439565318E-2</v>
      </c>
      <c r="M14" s="61">
        <f>L14*(1+$C$8)/(1+$J$8)</f>
        <v>8.8439110140664121E-2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14" t="s">
        <v>16</v>
      </c>
      <c r="C16" s="315"/>
      <c r="D16" s="40"/>
      <c r="E16" s="316" t="s">
        <v>80</v>
      </c>
      <c r="F16" s="317">
        <f>C22</f>
        <v>260.72531797771802</v>
      </c>
      <c r="G16" s="31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3146.5244516880525</v>
      </c>
      <c r="D17" s="40"/>
      <c r="E17" s="317"/>
      <c r="F17" s="317"/>
      <c r="G17" s="31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506.28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2.65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15">
        <f>C17+C18-C19</f>
        <v>3650.1544516880526</v>
      </c>
      <c r="D20" s="47"/>
      <c r="E20" s="318" t="s">
        <v>22</v>
      </c>
      <c r="F20" s="319">
        <f>C23</f>
        <v>177.89</v>
      </c>
      <c r="G20" s="31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14</v>
      </c>
      <c r="D21" s="47"/>
      <c r="E21" s="318"/>
      <c r="F21" s="319"/>
      <c r="G21" s="31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260.72531797771802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177.89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0.46565471908324269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10" t="s">
        <v>36</v>
      </c>
    </row>
    <row r="30" spans="1:13">
      <c r="B30" s="312"/>
    </row>
    <row r="31" spans="1:13">
      <c r="B31" s="312"/>
    </row>
    <row r="32" spans="1:13">
      <c r="B32" s="31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5A9DE-3A16-494C-B036-1661B6483C2A}">
  <dimension ref="A1:M36"/>
  <sheetViews>
    <sheetView zoomScale="134" workbookViewId="0">
      <selection activeCell="H22" sqref="H22"/>
    </sheetView>
  </sheetViews>
  <sheetFormatPr baseColWidth="10" defaultColWidth="9" defaultRowHeight="14"/>
  <cols>
    <col min="2" max="2" width="20.1640625" customWidth="1"/>
    <col min="3" max="3" width="21.83203125" style="311" customWidth="1"/>
    <col min="4" max="4" width="12.5" style="311" customWidth="1"/>
    <col min="5" max="5" width="9.6640625" style="311" bestFit="1" customWidth="1"/>
    <col min="6" max="6" width="21.33203125" style="311" bestFit="1" customWidth="1"/>
    <col min="7" max="7" width="21.83203125" style="311" customWidth="1"/>
    <col min="8" max="8" width="10.6640625" style="311" bestFit="1" customWidth="1"/>
    <col min="9" max="9" width="15.6640625" style="311" customWidth="1"/>
    <col min="10" max="12" width="10.6640625" style="311" bestFit="1" customWidth="1"/>
    <col min="13" max="13" width="14.83203125" style="31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150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0.25</v>
      </c>
      <c r="I3" s="12">
        <v>0.2</v>
      </c>
      <c r="J3" s="12">
        <v>0.15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1738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13" t="s">
        <v>6</v>
      </c>
      <c r="F6" s="313"/>
      <c r="G6" s="31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14" t="s">
        <v>12</v>
      </c>
      <c r="C10" s="30">
        <v>2024</v>
      </c>
      <c r="D10" s="315">
        <v>2025</v>
      </c>
      <c r="E10" s="315">
        <v>2026</v>
      </c>
      <c r="F10" s="315">
        <v>2027</v>
      </c>
      <c r="G10" s="315">
        <v>2028</v>
      </c>
      <c r="H10" s="315">
        <v>2029</v>
      </c>
      <c r="I10" s="315">
        <v>2030</v>
      </c>
      <c r="J10" s="315">
        <v>2031</v>
      </c>
      <c r="K10" s="315">
        <v>2032</v>
      </c>
      <c r="L10" s="315">
        <v>2033</v>
      </c>
      <c r="M10" s="315">
        <v>2034</v>
      </c>
    </row>
    <row r="11" spans="1:13" ht="18" thickBot="1">
      <c r="A11" s="2"/>
      <c r="B11" s="7" t="s">
        <v>13</v>
      </c>
      <c r="C11" s="32">
        <v>91.68</v>
      </c>
      <c r="D11" s="33">
        <f>C11*(1+H3)</f>
        <v>114.60000000000001</v>
      </c>
      <c r="E11" s="33">
        <f>D11*(1+$I$3)</f>
        <v>137.52000000000001</v>
      </c>
      <c r="F11" s="33">
        <f>E11*(1+$J$3)</f>
        <v>158.148</v>
      </c>
      <c r="G11" s="33">
        <f>F11*(1+$K$3)</f>
        <v>173.96280000000002</v>
      </c>
      <c r="H11" s="33">
        <f>G11*(1+$L$3)</f>
        <v>191.35908000000003</v>
      </c>
      <c r="I11" s="33">
        <f>H11*(1+$C$8)</f>
        <v>206.66780640000005</v>
      </c>
      <c r="J11" s="33">
        <f>I11*(1+$C$8)</f>
        <v>223.20123091200006</v>
      </c>
      <c r="K11" s="33">
        <f>J11*(1+$C$8)</f>
        <v>241.05732938496007</v>
      </c>
      <c r="L11" s="33">
        <f>K11*(1+$C$8)</f>
        <v>260.34191573575691</v>
      </c>
      <c r="M11" s="33">
        <f>L11*(1+$C$8)</f>
        <v>281.16926899461748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3842.6466762597715</v>
      </c>
    </row>
    <row r="13" spans="1:13" ht="20" thickBot="1">
      <c r="A13" s="2"/>
      <c r="B13" s="35" t="s">
        <v>15</v>
      </c>
      <c r="C13" s="34"/>
      <c r="D13" s="33">
        <f t="shared" ref="D13:L13" si="0">D11</f>
        <v>114.60000000000001</v>
      </c>
      <c r="E13" s="33">
        <f t="shared" si="0"/>
        <v>137.52000000000001</v>
      </c>
      <c r="F13" s="33">
        <f t="shared" si="0"/>
        <v>158.148</v>
      </c>
      <c r="G13" s="33">
        <f t="shared" si="0"/>
        <v>173.96280000000002</v>
      </c>
      <c r="H13" s="33">
        <f t="shared" si="0"/>
        <v>191.35908000000003</v>
      </c>
      <c r="I13" s="33">
        <f t="shared" si="0"/>
        <v>206.66780640000005</v>
      </c>
      <c r="J13" s="33">
        <f t="shared" si="0"/>
        <v>223.20123091200006</v>
      </c>
      <c r="K13" s="33">
        <f t="shared" si="0"/>
        <v>241.05732938496007</v>
      </c>
      <c r="L13" s="33">
        <f t="shared" si="0"/>
        <v>260.34191573575691</v>
      </c>
      <c r="M13" s="60">
        <f>M11+M12</f>
        <v>4123.8159452543887</v>
      </c>
    </row>
    <row r="14" spans="1:13" ht="15" thickBot="1">
      <c r="A14" s="2"/>
      <c r="B14" s="36" t="s">
        <v>35</v>
      </c>
      <c r="C14" s="37">
        <f>C11/J5</f>
        <v>5.275028768699655E-2</v>
      </c>
      <c r="D14" s="37">
        <f>C14*(1+$H$3)/(1+$H$4)</f>
        <v>5.0721430468265903E-2</v>
      </c>
      <c r="E14" s="37">
        <f>D14*(1+$I$3)/(1+$I$4)</f>
        <v>4.6819781970706985E-2</v>
      </c>
      <c r="F14" s="37">
        <f>E14*(1+$J$3)/(1+$J$4)</f>
        <v>4.4868957721927526E-2</v>
      </c>
      <c r="G14" s="37">
        <f>F14*(1+$K$3)/(1+$K$4)</f>
        <v>4.1129877911766907E-2</v>
      </c>
      <c r="H14" s="37">
        <f>G14*(1+$L$3)/(1+$L$4)</f>
        <v>3.7702388085786333E-2</v>
      </c>
      <c r="I14" s="61">
        <f>H14*(1+$C$8)/(1+$J$8)</f>
        <v>3.7016890120590215E-2</v>
      </c>
      <c r="J14" s="61">
        <f>I14*(1+$C$8)/(1+$J$8)</f>
        <v>3.6343855754761296E-2</v>
      </c>
      <c r="K14" s="61">
        <f>J14*(1+$C$8)/(1+$J$8)</f>
        <v>3.5683058377401995E-2</v>
      </c>
      <c r="L14" s="61">
        <f>K14*(1+$C$8)/(1+$J$8)</f>
        <v>3.5034275497812871E-2</v>
      </c>
      <c r="M14" s="61">
        <f>L14*(1+$C$8)/(1+$J$8)</f>
        <v>3.4397288670579909E-2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14" t="s">
        <v>16</v>
      </c>
      <c r="C16" s="315"/>
      <c r="D16" s="40"/>
      <c r="E16" s="316" t="s">
        <v>80</v>
      </c>
      <c r="F16" s="317">
        <f>C22</f>
        <v>122.27427040303864</v>
      </c>
      <c r="G16" s="31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2618.2625968516568</v>
      </c>
      <c r="D17" s="40"/>
      <c r="E17" s="317"/>
      <c r="F17" s="317"/>
      <c r="G17" s="31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35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574.6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15">
        <f>C17+C18-C19</f>
        <v>2078.6625968516569</v>
      </c>
      <c r="D20" s="47"/>
      <c r="E20" s="318" t="s">
        <v>22</v>
      </c>
      <c r="F20" s="319">
        <f>C23</f>
        <v>102.67</v>
      </c>
      <c r="G20" s="31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17</v>
      </c>
      <c r="D21" s="47"/>
      <c r="E21" s="318"/>
      <c r="F21" s="319"/>
      <c r="G21" s="31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122.27427040303864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102.67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0.19094448624757612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10" t="s">
        <v>36</v>
      </c>
    </row>
    <row r="30" spans="1:13">
      <c r="B30" s="312"/>
    </row>
    <row r="31" spans="1:13">
      <c r="B31" s="312"/>
    </row>
    <row r="32" spans="1:13">
      <c r="B32" s="31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FA8E9-F284-7E43-AE7D-21A4A4A6E71A}">
  <dimension ref="A1:M36"/>
  <sheetViews>
    <sheetView zoomScale="135" workbookViewId="0">
      <selection activeCell="K43" sqref="K43"/>
    </sheetView>
  </sheetViews>
  <sheetFormatPr baseColWidth="10" defaultColWidth="9" defaultRowHeight="14"/>
  <cols>
    <col min="2" max="2" width="20.1640625" customWidth="1"/>
    <col min="3" max="3" width="21.83203125" style="311" customWidth="1"/>
    <col min="4" max="4" width="12.5" style="311" customWidth="1"/>
    <col min="5" max="5" width="9.6640625" style="311" bestFit="1" customWidth="1"/>
    <col min="6" max="6" width="21.33203125" style="311" bestFit="1" customWidth="1"/>
    <col min="7" max="7" width="21.83203125" style="311" customWidth="1"/>
    <col min="8" max="8" width="10.6640625" style="311" bestFit="1" customWidth="1"/>
    <col min="9" max="9" width="15.6640625" style="311" customWidth="1"/>
    <col min="10" max="12" width="10.6640625" style="311" bestFit="1" customWidth="1"/>
    <col min="13" max="13" width="14.83203125" style="31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151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0.25</v>
      </c>
      <c r="I3" s="12">
        <v>0.2</v>
      </c>
      <c r="J3" s="12">
        <v>0.15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1738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13" t="s">
        <v>6</v>
      </c>
      <c r="F6" s="313"/>
      <c r="G6" s="31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14" t="s">
        <v>12</v>
      </c>
      <c r="C10" s="30">
        <v>2024</v>
      </c>
      <c r="D10" s="315">
        <v>2025</v>
      </c>
      <c r="E10" s="315">
        <v>2026</v>
      </c>
      <c r="F10" s="315">
        <v>2027</v>
      </c>
      <c r="G10" s="315">
        <v>2028</v>
      </c>
      <c r="H10" s="315">
        <v>2029</v>
      </c>
      <c r="I10" s="315">
        <v>2030</v>
      </c>
      <c r="J10" s="315">
        <v>2031</v>
      </c>
      <c r="K10" s="315">
        <v>2032</v>
      </c>
      <c r="L10" s="315">
        <v>2033</v>
      </c>
      <c r="M10" s="315">
        <v>2034</v>
      </c>
    </row>
    <row r="11" spans="1:13" ht="18" thickBot="1">
      <c r="A11" s="2"/>
      <c r="B11" s="7" t="s">
        <v>13</v>
      </c>
      <c r="C11" s="32">
        <v>217.1</v>
      </c>
      <c r="D11" s="33">
        <f>C11*(1+H3)</f>
        <v>271.375</v>
      </c>
      <c r="E11" s="33">
        <f>D11*(1+$I$3)</f>
        <v>325.64999999999998</v>
      </c>
      <c r="F11" s="33">
        <f>E11*(1+$J$3)</f>
        <v>374.49749999999995</v>
      </c>
      <c r="G11" s="33">
        <f>F11*(1+$K$3)</f>
        <v>411.94725</v>
      </c>
      <c r="H11" s="33">
        <f>G11*(1+$L$3)</f>
        <v>453.14197500000006</v>
      </c>
      <c r="I11" s="33">
        <f>H11*(1+$C$8)</f>
        <v>489.3933330000001</v>
      </c>
      <c r="J11" s="33">
        <f>I11*(1+$C$8)</f>
        <v>528.54479964000018</v>
      </c>
      <c r="K11" s="33">
        <f>J11*(1+$C$8)</f>
        <v>570.82838361120025</v>
      </c>
      <c r="L11" s="33">
        <f>K11*(1+$C$8)</f>
        <v>616.49465430009627</v>
      </c>
      <c r="M11" s="33">
        <f>L11*(1+$C$8)</f>
        <v>665.814226644104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9099.4610974694187</v>
      </c>
    </row>
    <row r="13" spans="1:13" ht="20" thickBot="1">
      <c r="A13" s="2"/>
      <c r="B13" s="35" t="s">
        <v>15</v>
      </c>
      <c r="C13" s="34"/>
      <c r="D13" s="33">
        <f t="shared" ref="D13:L13" si="0">D11</f>
        <v>271.375</v>
      </c>
      <c r="E13" s="33">
        <f t="shared" si="0"/>
        <v>325.64999999999998</v>
      </c>
      <c r="F13" s="33">
        <f t="shared" si="0"/>
        <v>374.49749999999995</v>
      </c>
      <c r="G13" s="33">
        <f t="shared" si="0"/>
        <v>411.94725</v>
      </c>
      <c r="H13" s="33">
        <f t="shared" si="0"/>
        <v>453.14197500000006</v>
      </c>
      <c r="I13" s="33">
        <f t="shared" si="0"/>
        <v>489.3933330000001</v>
      </c>
      <c r="J13" s="33">
        <f t="shared" si="0"/>
        <v>528.54479964000018</v>
      </c>
      <c r="K13" s="33">
        <f t="shared" si="0"/>
        <v>570.82838361120025</v>
      </c>
      <c r="L13" s="33">
        <f t="shared" si="0"/>
        <v>616.49465430009627</v>
      </c>
      <c r="M13" s="60">
        <f>M11+M12</f>
        <v>9765.2753241135233</v>
      </c>
    </row>
    <row r="14" spans="1:13" ht="15" thickBot="1">
      <c r="A14" s="2"/>
      <c r="B14" s="36" t="s">
        <v>35</v>
      </c>
      <c r="C14" s="37">
        <f>C11/J5</f>
        <v>0.12491369390103567</v>
      </c>
      <c r="D14" s="37">
        <f>C14*(1+$H$3)/(1+$H$4)</f>
        <v>0.12010932105868813</v>
      </c>
      <c r="E14" s="37">
        <f>D14*(1+$I$3)/(1+$I$4)</f>
        <v>0.11087014251571212</v>
      </c>
      <c r="F14" s="37">
        <f>E14*(1+$J$3)/(1+$J$4)</f>
        <v>0.1062505532442241</v>
      </c>
      <c r="G14" s="37">
        <f>F14*(1+$K$3)/(1+$K$4)</f>
        <v>9.7396340473872092E-2</v>
      </c>
      <c r="H14" s="37">
        <f>G14*(1+$L$3)/(1+$L$4)</f>
        <v>8.9279978767716095E-2</v>
      </c>
      <c r="I14" s="61">
        <f>H14*(1+$C$8)/(1+$J$8)</f>
        <v>8.765670642648489E-2</v>
      </c>
      <c r="J14" s="61">
        <f>I14*(1+$C$8)/(1+$J$8)</f>
        <v>8.6062948127821531E-2</v>
      </c>
      <c r="K14" s="61">
        <f>J14*(1+$C$8)/(1+$J$8)</f>
        <v>8.4498167252770234E-2</v>
      </c>
      <c r="L14" s="61">
        <f>K14*(1+$C$8)/(1+$J$8)</f>
        <v>8.2961836939083503E-2</v>
      </c>
      <c r="M14" s="61">
        <f>L14*(1+$C$8)/(1+$J$8)</f>
        <v>8.1453439903827446E-2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14" t="s">
        <v>16</v>
      </c>
      <c r="C16" s="315"/>
      <c r="D16" s="40"/>
      <c r="E16" s="316" t="s">
        <v>80</v>
      </c>
      <c r="F16" s="317">
        <f>C22</f>
        <v>91.462958536425049</v>
      </c>
      <c r="G16" s="31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6200.0960926755524</v>
      </c>
      <c r="D17" s="40"/>
      <c r="E17" s="317"/>
      <c r="F17" s="317"/>
      <c r="G17" s="31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16.2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2009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15">
        <f>C17+C18-C19</f>
        <v>4207.2960926755522</v>
      </c>
      <c r="D20" s="47"/>
      <c r="E20" s="318" t="s">
        <v>22</v>
      </c>
      <c r="F20" s="319">
        <f>C23</f>
        <v>144.12</v>
      </c>
      <c r="G20" s="31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46</v>
      </c>
      <c r="D21" s="47"/>
      <c r="E21" s="318"/>
      <c r="F21" s="319"/>
      <c r="G21" s="31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91.462958536425049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144.12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-0.36536942453216037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10" t="s">
        <v>36</v>
      </c>
    </row>
    <row r="30" spans="1:13">
      <c r="B30" s="312"/>
    </row>
    <row r="31" spans="1:13">
      <c r="B31" s="312"/>
    </row>
    <row r="32" spans="1:13">
      <c r="B32" s="31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8C90C-0228-0B4C-A255-3E9E40286E8E}">
  <dimension ref="A1:M36"/>
  <sheetViews>
    <sheetView zoomScale="109" workbookViewId="0">
      <selection activeCell="H25" sqref="H25"/>
    </sheetView>
  </sheetViews>
  <sheetFormatPr baseColWidth="10" defaultColWidth="9" defaultRowHeight="14"/>
  <cols>
    <col min="2" max="2" width="20.1640625" customWidth="1"/>
    <col min="3" max="3" width="21.83203125" style="321" customWidth="1"/>
    <col min="4" max="4" width="12.5" style="321" customWidth="1"/>
    <col min="5" max="5" width="9.6640625" style="321" bestFit="1" customWidth="1"/>
    <col min="6" max="6" width="21.33203125" style="321" bestFit="1" customWidth="1"/>
    <col min="7" max="7" width="21.83203125" style="321" customWidth="1"/>
    <col min="8" max="8" width="10.6640625" style="321" bestFit="1" customWidth="1"/>
    <col min="9" max="9" width="15.6640625" style="321" customWidth="1"/>
    <col min="10" max="12" width="10.6640625" style="321" bestFit="1" customWidth="1"/>
    <col min="13" max="13" width="14.83203125" style="32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152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0.25</v>
      </c>
      <c r="J3" s="12">
        <v>0.25</v>
      </c>
      <c r="K3" s="12">
        <v>0.1</v>
      </c>
      <c r="L3" s="12">
        <v>0.1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43978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23" t="s">
        <v>6</v>
      </c>
      <c r="F6" s="323"/>
      <c r="G6" s="32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24" t="s">
        <v>12</v>
      </c>
      <c r="C10" s="30">
        <v>2024</v>
      </c>
      <c r="D10" s="325">
        <v>2025</v>
      </c>
      <c r="E10" s="325">
        <v>2026</v>
      </c>
      <c r="F10" s="325">
        <v>2027</v>
      </c>
      <c r="G10" s="325">
        <v>2028</v>
      </c>
      <c r="H10" s="325">
        <v>2029</v>
      </c>
      <c r="I10" s="325">
        <v>2030</v>
      </c>
      <c r="J10" s="325">
        <v>2031</v>
      </c>
      <c r="K10" s="325">
        <v>2032</v>
      </c>
      <c r="L10" s="325">
        <v>2033</v>
      </c>
      <c r="M10" s="325">
        <v>2034</v>
      </c>
    </row>
    <row r="11" spans="1:13" ht="18" thickBot="1">
      <c r="A11" s="2"/>
      <c r="B11" s="7" t="s">
        <v>13</v>
      </c>
      <c r="C11" s="32">
        <v>6895</v>
      </c>
      <c r="D11" s="33">
        <f>C11*(1+H3)</f>
        <v>10342.5</v>
      </c>
      <c r="E11" s="33">
        <f>D11*(1+$I$3)</f>
        <v>12928.125</v>
      </c>
      <c r="F11" s="33">
        <f>E11*(1+$J$3)</f>
        <v>16160.15625</v>
      </c>
      <c r="G11" s="33">
        <f>F11*(1+$K$3)</f>
        <v>17776.171875</v>
      </c>
      <c r="H11" s="33">
        <f>G11*(1+$L$3)</f>
        <v>19553.7890625</v>
      </c>
      <c r="I11" s="33">
        <f>H11*(1+$C$8)</f>
        <v>21118.092187500002</v>
      </c>
      <c r="J11" s="33">
        <f>I11*(1+$C$8)</f>
        <v>22807.539562500006</v>
      </c>
      <c r="K11" s="33">
        <f>J11*(1+$C$8)</f>
        <v>24632.142727500006</v>
      </c>
      <c r="L11" s="33">
        <f>K11*(1+$C$8)</f>
        <v>26602.714145700007</v>
      </c>
      <c r="M11" s="33">
        <f>L11*(1+$C$8)</f>
        <v>28730.931277356009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392656.06079053204</v>
      </c>
    </row>
    <row r="13" spans="1:13" ht="20" thickBot="1">
      <c r="A13" s="2"/>
      <c r="B13" s="35" t="s">
        <v>15</v>
      </c>
      <c r="C13" s="34"/>
      <c r="D13" s="33">
        <f t="shared" ref="D13:L13" si="0">D11</f>
        <v>10342.5</v>
      </c>
      <c r="E13" s="33">
        <f t="shared" si="0"/>
        <v>12928.125</v>
      </c>
      <c r="F13" s="33">
        <f t="shared" si="0"/>
        <v>16160.15625</v>
      </c>
      <c r="G13" s="33">
        <f t="shared" si="0"/>
        <v>17776.171875</v>
      </c>
      <c r="H13" s="33">
        <f t="shared" si="0"/>
        <v>19553.7890625</v>
      </c>
      <c r="I13" s="33">
        <f t="shared" si="0"/>
        <v>21118.092187500002</v>
      </c>
      <c r="J13" s="33">
        <f t="shared" si="0"/>
        <v>22807.539562500006</v>
      </c>
      <c r="K13" s="33">
        <f t="shared" si="0"/>
        <v>24632.142727500006</v>
      </c>
      <c r="L13" s="33">
        <f t="shared" si="0"/>
        <v>26602.714145700007</v>
      </c>
      <c r="M13" s="60">
        <f>M11+M12</f>
        <v>421386.99206788803</v>
      </c>
    </row>
    <row r="14" spans="1:13" ht="15" thickBot="1">
      <c r="A14" s="2"/>
      <c r="B14" s="36" t="s">
        <v>35</v>
      </c>
      <c r="C14" s="37">
        <f>C11/J5</f>
        <v>0.15678293692300696</v>
      </c>
      <c r="D14" s="37">
        <f>C14*(1+$H$3)/(1+$H$4)</f>
        <v>0.18090338875731574</v>
      </c>
      <c r="E14" s="37">
        <f>D14*(1+$I$3)/(1+$I$4)</f>
        <v>0.17394556611280357</v>
      </c>
      <c r="F14" s="37">
        <f>E14*(1+$J$3)/(1+$J$4)</f>
        <v>0.18119329803417039</v>
      </c>
      <c r="G14" s="37">
        <f>F14*(1+$K$3)/(1+$K$4)</f>
        <v>0.16609385653132286</v>
      </c>
      <c r="H14" s="37">
        <f>G14*(1+$L$3)/(1+$L$4)</f>
        <v>0.15225270182037931</v>
      </c>
      <c r="I14" s="61">
        <f>H14*(1+$C$8)/(1+$J$8)</f>
        <v>0.14948447087819061</v>
      </c>
      <c r="J14" s="61">
        <f>I14*(1+$C$8)/(1+$J$8)</f>
        <v>0.14676657140767804</v>
      </c>
      <c r="K14" s="61">
        <f>J14*(1+$C$8)/(1+$J$8)</f>
        <v>0.14409808829117479</v>
      </c>
      <c r="L14" s="61">
        <f>K14*(1+$C$8)/(1+$J$8)</f>
        <v>0.14147812304951707</v>
      </c>
      <c r="M14" s="61">
        <f>L14*(1+$C$8)/(1+$J$8)</f>
        <v>0.13890579353952584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24" t="s">
        <v>16</v>
      </c>
      <c r="C16" s="325"/>
      <c r="D16" s="40"/>
      <c r="E16" s="326" t="s">
        <v>80</v>
      </c>
      <c r="F16" s="327">
        <f>C22</f>
        <v>121.97694327512058</v>
      </c>
      <c r="G16" s="32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265371.40498478437</v>
      </c>
      <c r="D17" s="40"/>
      <c r="E17" s="327"/>
      <c r="F17" s="327"/>
      <c r="G17" s="32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6977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9976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25">
        <f>C17+C18-C19</f>
        <v>262372.40498478437</v>
      </c>
      <c r="D20" s="47"/>
      <c r="E20" s="328" t="s">
        <v>22</v>
      </c>
      <c r="F20" s="329">
        <f>C23</f>
        <v>71.989999999999995</v>
      </c>
      <c r="G20" s="32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2151</v>
      </c>
      <c r="D21" s="47"/>
      <c r="E21" s="328"/>
      <c r="F21" s="329"/>
      <c r="G21" s="32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121.97694327512058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71.989999999999995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0.69435953986832311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20" t="s">
        <v>36</v>
      </c>
    </row>
    <row r="30" spans="1:13">
      <c r="B30" s="322"/>
    </row>
    <row r="31" spans="1:13">
      <c r="B31" s="322"/>
    </row>
    <row r="32" spans="1:13">
      <c r="B32" s="322"/>
    </row>
    <row r="36" spans="8:8">
      <c r="H36" s="269" t="s">
        <v>139</v>
      </c>
    </row>
  </sheetData>
  <phoneticPr fontId="47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9C5EB-2B77-5544-962B-6E1001E868BA}">
  <dimension ref="A1:M36"/>
  <sheetViews>
    <sheetView zoomScale="116" workbookViewId="0">
      <selection activeCell="K28" sqref="K28"/>
    </sheetView>
  </sheetViews>
  <sheetFormatPr baseColWidth="10" defaultColWidth="9" defaultRowHeight="14"/>
  <cols>
    <col min="2" max="2" width="20.1640625" customWidth="1"/>
    <col min="3" max="3" width="21.83203125" style="331" customWidth="1"/>
    <col min="4" max="4" width="12.5" style="331" customWidth="1"/>
    <col min="5" max="5" width="9.6640625" style="331" bestFit="1" customWidth="1"/>
    <col min="6" max="6" width="21.33203125" style="331" bestFit="1" customWidth="1"/>
    <col min="7" max="7" width="21.83203125" style="331" customWidth="1"/>
    <col min="8" max="8" width="10.6640625" style="331" bestFit="1" customWidth="1"/>
    <col min="9" max="9" width="15.6640625" style="331" customWidth="1"/>
    <col min="10" max="12" width="10.6640625" style="331" bestFit="1" customWidth="1"/>
    <col min="13" max="13" width="14.83203125" style="33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153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0.4</v>
      </c>
      <c r="J3" s="12">
        <v>0.3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</v>
      </c>
      <c r="I4" s="12">
        <v>0.3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2800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33" t="s">
        <v>6</v>
      </c>
      <c r="F6" s="333"/>
      <c r="G6" s="33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34" t="s">
        <v>12</v>
      </c>
      <c r="C10" s="30">
        <v>2024</v>
      </c>
      <c r="D10" s="335">
        <v>2025</v>
      </c>
      <c r="E10" s="335">
        <v>2026</v>
      </c>
      <c r="F10" s="335">
        <v>2027</v>
      </c>
      <c r="G10" s="335">
        <v>2028</v>
      </c>
      <c r="H10" s="335">
        <v>2029</v>
      </c>
      <c r="I10" s="335">
        <v>2030</v>
      </c>
      <c r="J10" s="335">
        <v>2031</v>
      </c>
      <c r="K10" s="335">
        <v>2032</v>
      </c>
      <c r="L10" s="335">
        <v>2033</v>
      </c>
      <c r="M10" s="335">
        <v>2034</v>
      </c>
    </row>
    <row r="11" spans="1:13" ht="18" thickBot="1">
      <c r="A11" s="2"/>
      <c r="B11" s="7" t="s">
        <v>13</v>
      </c>
      <c r="C11" s="32">
        <v>613.01</v>
      </c>
      <c r="D11" s="33">
        <f>C11*(1+H3)</f>
        <v>919.51499999999999</v>
      </c>
      <c r="E11" s="33">
        <f>D11*(1+$I$3)</f>
        <v>1287.3209999999999</v>
      </c>
      <c r="F11" s="33">
        <f>E11*(1+$J$3)</f>
        <v>1673.5173</v>
      </c>
      <c r="G11" s="33">
        <f>F11*(1+$K$3)</f>
        <v>2008.2207599999999</v>
      </c>
      <c r="H11" s="33">
        <f>G11*(1+$L$3)</f>
        <v>2409.864912</v>
      </c>
      <c r="I11" s="33">
        <f>H11*(1+$C$8)</f>
        <v>2650.8514032000003</v>
      </c>
      <c r="J11" s="33">
        <f>I11*(1+$C$8)</f>
        <v>2915.9365435200007</v>
      </c>
      <c r="K11" s="33">
        <f>J11*(1+$C$8)</f>
        <v>3207.5301978720008</v>
      </c>
      <c r="L11" s="33">
        <f>K11*(1+$C$8)</f>
        <v>3528.283217659201</v>
      </c>
      <c r="M11" s="33">
        <f>L11*(1+$C$8)</f>
        <v>3881.1115394251215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53041.85770547665</v>
      </c>
    </row>
    <row r="13" spans="1:13" ht="20" thickBot="1">
      <c r="A13" s="2"/>
      <c r="B13" s="35" t="s">
        <v>15</v>
      </c>
      <c r="C13" s="34"/>
      <c r="D13" s="33">
        <f t="shared" ref="D13:L13" si="0">D11</f>
        <v>919.51499999999999</v>
      </c>
      <c r="E13" s="33">
        <f t="shared" si="0"/>
        <v>1287.3209999999999</v>
      </c>
      <c r="F13" s="33">
        <f t="shared" si="0"/>
        <v>1673.5173</v>
      </c>
      <c r="G13" s="33">
        <f t="shared" si="0"/>
        <v>2008.2207599999999</v>
      </c>
      <c r="H13" s="33">
        <f t="shared" si="0"/>
        <v>2409.864912</v>
      </c>
      <c r="I13" s="33">
        <f t="shared" si="0"/>
        <v>2650.8514032000003</v>
      </c>
      <c r="J13" s="33">
        <f t="shared" si="0"/>
        <v>2915.9365435200007</v>
      </c>
      <c r="K13" s="33">
        <f t="shared" si="0"/>
        <v>3207.5301978720008</v>
      </c>
      <c r="L13" s="33">
        <f t="shared" si="0"/>
        <v>3528.283217659201</v>
      </c>
      <c r="M13" s="60">
        <f>M11+M12</f>
        <v>56922.969244901775</v>
      </c>
    </row>
    <row r="14" spans="1:13" ht="15" thickBot="1">
      <c r="A14" s="2"/>
      <c r="B14" s="36" t="s">
        <v>35</v>
      </c>
      <c r="C14" s="37">
        <f>C11/J5</f>
        <v>0.21893214285714285</v>
      </c>
      <c r="D14" s="37">
        <f>C14*(1+$H$3)/(1+$H$4)</f>
        <v>0.25261401098901093</v>
      </c>
      <c r="E14" s="37">
        <f>D14*(1+$I$3)/(1+$I$4)</f>
        <v>0.27204585798816561</v>
      </c>
      <c r="F14" s="37">
        <f>E14*(1+$J$3)/(1+$J$4)</f>
        <v>0.29471634615384612</v>
      </c>
      <c r="G14" s="37">
        <f>F14*(1+$K$3)/(1+$K$4)</f>
        <v>0.29471634615384612</v>
      </c>
      <c r="H14" s="37">
        <f>G14*(1+$L$3)/(1+$L$4)</f>
        <v>0.29471634615384612</v>
      </c>
      <c r="I14" s="61">
        <f>H14*(1+$C$8)/(1+$J$8)</f>
        <v>0.29471634615384612</v>
      </c>
      <c r="J14" s="61">
        <f>I14*(1+$C$8)/(1+$J$8)</f>
        <v>0.29471634615384612</v>
      </c>
      <c r="K14" s="61">
        <f>J14*(1+$C$8)/(1+$J$8)</f>
        <v>0.29471634615384612</v>
      </c>
      <c r="L14" s="61">
        <f>K14*(1+$C$8)/(1+$J$8)</f>
        <v>0.29471634615384612</v>
      </c>
      <c r="M14" s="61">
        <f>L14*(1+$C$8)/(1+$J$8)</f>
        <v>0.29471634615384612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34" t="s">
        <v>16</v>
      </c>
      <c r="C16" s="335"/>
      <c r="D16" s="40"/>
      <c r="E16" s="336" t="s">
        <v>80</v>
      </c>
      <c r="F16" s="337">
        <f>C22</f>
        <v>87.384087861777445</v>
      </c>
      <c r="G16" s="33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33956.755852183451</v>
      </c>
      <c r="D17" s="40"/>
      <c r="E17" s="337"/>
      <c r="F17" s="337"/>
      <c r="G17" s="33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1240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7496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35">
        <f>C17+C18-C19</f>
        <v>27700.755852183451</v>
      </c>
      <c r="D20" s="47"/>
      <c r="E20" s="338" t="s">
        <v>22</v>
      </c>
      <c r="F20" s="339">
        <f>C23</f>
        <v>75.22</v>
      </c>
      <c r="G20" s="33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317</v>
      </c>
      <c r="D21" s="47"/>
      <c r="E21" s="338"/>
      <c r="F21" s="339"/>
      <c r="G21" s="33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87.384087861777445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75.22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0.16171347861974802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30" t="s">
        <v>36</v>
      </c>
    </row>
    <row r="30" spans="1:13">
      <c r="B30" s="332"/>
    </row>
    <row r="31" spans="1:13">
      <c r="B31" s="332"/>
    </row>
    <row r="32" spans="1:13">
      <c r="B32" s="33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24F2-05EC-4141-8491-40CB789CFAA1}">
  <dimension ref="A1:M36"/>
  <sheetViews>
    <sheetView zoomScale="106" workbookViewId="0">
      <selection activeCell="L26" sqref="L26"/>
    </sheetView>
  </sheetViews>
  <sheetFormatPr baseColWidth="10" defaultColWidth="9" defaultRowHeight="14"/>
  <cols>
    <col min="2" max="2" width="20.1640625" customWidth="1"/>
    <col min="3" max="3" width="21.83203125" style="351" customWidth="1"/>
    <col min="4" max="4" width="12.5" style="351" customWidth="1"/>
    <col min="5" max="5" width="9.6640625" style="351" bestFit="1" customWidth="1"/>
    <col min="6" max="6" width="21.33203125" style="351" bestFit="1" customWidth="1"/>
    <col min="7" max="7" width="21.83203125" style="351" customWidth="1"/>
    <col min="8" max="8" width="10.6640625" style="351" bestFit="1" customWidth="1"/>
    <col min="9" max="9" width="15.6640625" style="351" customWidth="1"/>
    <col min="10" max="12" width="10.6640625" style="351" bestFit="1" customWidth="1"/>
    <col min="13" max="13" width="14.83203125" style="35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155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0.05</v>
      </c>
      <c r="D3" s="6"/>
      <c r="E3" s="9" t="s">
        <v>2</v>
      </c>
      <c r="F3" s="10"/>
      <c r="G3" s="11" t="s">
        <v>29</v>
      </c>
      <c r="H3" s="12">
        <v>0.5</v>
      </c>
      <c r="I3" s="12">
        <v>0.4</v>
      </c>
      <c r="J3" s="12">
        <v>0.3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0.25</v>
      </c>
      <c r="J4" s="12">
        <v>0.1</v>
      </c>
      <c r="K4" s="12">
        <v>0.1</v>
      </c>
      <c r="L4" s="12">
        <v>0.1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516.16999999999996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53" t="s">
        <v>6</v>
      </c>
      <c r="F6" s="353"/>
      <c r="G6" s="35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54" t="s">
        <v>12</v>
      </c>
      <c r="C10" s="30">
        <v>2024</v>
      </c>
      <c r="D10" s="355">
        <v>2025</v>
      </c>
      <c r="E10" s="355">
        <v>2026</v>
      </c>
      <c r="F10" s="355">
        <v>2027</v>
      </c>
      <c r="G10" s="355">
        <v>2028</v>
      </c>
      <c r="H10" s="355">
        <v>2029</v>
      </c>
      <c r="I10" s="355">
        <v>2030</v>
      </c>
      <c r="J10" s="355">
        <v>2031</v>
      </c>
      <c r="K10" s="355">
        <v>2032</v>
      </c>
      <c r="L10" s="355">
        <v>2033</v>
      </c>
      <c r="M10" s="355">
        <v>2034</v>
      </c>
    </row>
    <row r="11" spans="1:13" ht="18" thickBot="1">
      <c r="A11" s="2"/>
      <c r="B11" s="7" t="s">
        <v>13</v>
      </c>
      <c r="C11" s="32">
        <v>48.42</v>
      </c>
      <c r="D11" s="33">
        <f>C11*(1+H3)</f>
        <v>72.63</v>
      </c>
      <c r="E11" s="33">
        <f>D11*(1+$I$3)</f>
        <v>101.68199999999999</v>
      </c>
      <c r="F11" s="33">
        <f>E11*(1+$J$3)</f>
        <v>132.1866</v>
      </c>
      <c r="G11" s="33">
        <f>F11*(1+$K$3)</f>
        <v>158.62392</v>
      </c>
      <c r="H11" s="33">
        <f>G11*(1+$L$3)</f>
        <v>190.348704</v>
      </c>
      <c r="I11" s="33">
        <f>H11*(1+$C$8)</f>
        <v>205.57660032000001</v>
      </c>
      <c r="J11" s="33">
        <f>I11*(1+$C$8)</f>
        <v>222.02272834560003</v>
      </c>
      <c r="K11" s="33">
        <f>J11*(1+$C$8)</f>
        <v>239.78454661324804</v>
      </c>
      <c r="L11" s="33">
        <f>K11*(1+$C$8)</f>
        <v>258.96731034230788</v>
      </c>
      <c r="M11" s="33">
        <f>L11*(1+$C$8)</f>
        <v>279.68469516969253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3822.3575006524638</v>
      </c>
    </row>
    <row r="13" spans="1:13" ht="20" thickBot="1">
      <c r="A13" s="2"/>
      <c r="B13" s="35" t="s">
        <v>15</v>
      </c>
      <c r="C13" s="34"/>
      <c r="D13" s="33">
        <f t="shared" ref="D13:L13" si="0">D11</f>
        <v>72.63</v>
      </c>
      <c r="E13" s="33">
        <f t="shared" si="0"/>
        <v>101.68199999999999</v>
      </c>
      <c r="F13" s="33">
        <f t="shared" si="0"/>
        <v>132.1866</v>
      </c>
      <c r="G13" s="33">
        <f t="shared" si="0"/>
        <v>158.62392</v>
      </c>
      <c r="H13" s="33">
        <f t="shared" si="0"/>
        <v>190.348704</v>
      </c>
      <c r="I13" s="33">
        <f t="shared" si="0"/>
        <v>205.57660032000001</v>
      </c>
      <c r="J13" s="33">
        <f t="shared" si="0"/>
        <v>222.02272834560003</v>
      </c>
      <c r="K13" s="33">
        <f t="shared" si="0"/>
        <v>239.78454661324804</v>
      </c>
      <c r="L13" s="33">
        <f t="shared" si="0"/>
        <v>258.96731034230788</v>
      </c>
      <c r="M13" s="60">
        <f>M11+M12</f>
        <v>4102.0421958221559</v>
      </c>
    </row>
    <row r="14" spans="1:13" ht="15" thickBot="1">
      <c r="A14" s="2"/>
      <c r="B14" s="36" t="s">
        <v>35</v>
      </c>
      <c r="C14" s="37">
        <f>C11/J5</f>
        <v>9.3806304124610121E-2</v>
      </c>
      <c r="D14" s="37">
        <f>C14*(1+$H$3)/(1+$H$4)</f>
        <v>0.11725788015576266</v>
      </c>
      <c r="E14" s="37">
        <f>D14*(1+$I$3)/(1+$I$4)</f>
        <v>0.13132882577445418</v>
      </c>
      <c r="F14" s="37">
        <f>E14*(1+$J$3)/(1+$J$4)</f>
        <v>0.15520679409708221</v>
      </c>
      <c r="G14" s="37">
        <f>F14*(1+$K$3)/(1+$K$4)</f>
        <v>0.16931650265136239</v>
      </c>
      <c r="H14" s="37">
        <f>G14*(1+$L$3)/(1+$L$4)</f>
        <v>0.18470891198330441</v>
      </c>
      <c r="I14" s="61">
        <f>H14*(1+$C$8)/(1+$J$8)</f>
        <v>0.1813505681290625</v>
      </c>
      <c r="J14" s="61">
        <f>I14*(1+$C$8)/(1+$J$8)</f>
        <v>0.17805328507217047</v>
      </c>
      <c r="K14" s="61">
        <f>J14*(1+$C$8)/(1+$J$8)</f>
        <v>0.17481595261631283</v>
      </c>
      <c r="L14" s="61">
        <f>K14*(1+$C$8)/(1+$J$8)</f>
        <v>0.17163748075056168</v>
      </c>
      <c r="M14" s="61">
        <f>L14*(1+$C$8)/(1+$J$8)</f>
        <v>0.16851679928236965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54" t="s">
        <v>16</v>
      </c>
      <c r="C16" s="355"/>
      <c r="D16" s="40"/>
      <c r="E16" s="356" t="s">
        <v>80</v>
      </c>
      <c r="F16" s="357">
        <f>C22</f>
        <v>104.58123878786073</v>
      </c>
      <c r="G16" s="35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2509.0884921207971</v>
      </c>
      <c r="D17" s="40"/>
      <c r="E17" s="357"/>
      <c r="F17" s="357"/>
      <c r="G17" s="35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50.02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153.74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55">
        <f>C17+C18-C19</f>
        <v>2405.3684921207969</v>
      </c>
      <c r="D20" s="47"/>
      <c r="E20" s="358" t="s">
        <v>22</v>
      </c>
      <c r="F20" s="359">
        <f>C23</f>
        <v>75.239999999999995</v>
      </c>
      <c r="G20" s="35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23</v>
      </c>
      <c r="D21" s="47"/>
      <c r="E21" s="358"/>
      <c r="F21" s="359"/>
      <c r="G21" s="35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104.58123878786073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75.239999999999995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0.38996861759517193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50" t="s">
        <v>36</v>
      </c>
    </row>
    <row r="30" spans="1:13">
      <c r="B30" s="352"/>
    </row>
    <row r="31" spans="1:13">
      <c r="B31" s="352"/>
    </row>
    <row r="32" spans="1:13">
      <c r="B32" s="352"/>
    </row>
    <row r="36" spans="8:8">
      <c r="H36" s="269" t="s">
        <v>139</v>
      </c>
    </row>
  </sheetData>
  <phoneticPr fontId="47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79AB1-78A2-2143-B2CE-927F57B05D70}">
  <dimension ref="A1:M36"/>
  <sheetViews>
    <sheetView zoomScale="118" workbookViewId="0">
      <selection activeCell="H26" sqref="H26"/>
    </sheetView>
  </sheetViews>
  <sheetFormatPr baseColWidth="10" defaultColWidth="9" defaultRowHeight="14"/>
  <cols>
    <col min="2" max="2" width="20.1640625" customWidth="1"/>
    <col min="3" max="3" width="21.83203125" style="351" customWidth="1"/>
    <col min="4" max="4" width="12.5" style="351" customWidth="1"/>
    <col min="5" max="5" width="9.6640625" style="351" bestFit="1" customWidth="1"/>
    <col min="6" max="6" width="21.33203125" style="351" bestFit="1" customWidth="1"/>
    <col min="7" max="7" width="21.83203125" style="351" customWidth="1"/>
    <col min="8" max="8" width="10.6640625" style="351" bestFit="1" customWidth="1"/>
    <col min="9" max="9" width="15.6640625" style="351" customWidth="1"/>
    <col min="10" max="10" width="11" style="351" bestFit="1" customWidth="1"/>
    <col min="11" max="12" width="10.6640625" style="351" bestFit="1" customWidth="1"/>
    <col min="13" max="13" width="14.83203125" style="35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156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0.4</v>
      </c>
      <c r="I3" s="12">
        <v>0.3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</v>
      </c>
      <c r="I4" s="12">
        <v>0.1</v>
      </c>
      <c r="J4" s="12">
        <v>0.1</v>
      </c>
      <c r="K4" s="12">
        <v>0.1</v>
      </c>
      <c r="L4" s="12">
        <v>0.1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9094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53" t="s">
        <v>6</v>
      </c>
      <c r="F6" s="353"/>
      <c r="G6" s="353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54" t="s">
        <v>12</v>
      </c>
      <c r="C10" s="30">
        <v>2024</v>
      </c>
      <c r="D10" s="355">
        <v>2025</v>
      </c>
      <c r="E10" s="355">
        <v>2026</v>
      </c>
      <c r="F10" s="355">
        <v>2027</v>
      </c>
      <c r="G10" s="355">
        <v>2028</v>
      </c>
      <c r="H10" s="355">
        <v>2029</v>
      </c>
      <c r="I10" s="355">
        <v>2030</v>
      </c>
      <c r="J10" s="355">
        <v>2031</v>
      </c>
      <c r="K10" s="355">
        <v>2032</v>
      </c>
      <c r="L10" s="355">
        <v>2033</v>
      </c>
      <c r="M10" s="355">
        <v>2034</v>
      </c>
    </row>
    <row r="11" spans="1:13" ht="18" thickBot="1">
      <c r="A11" s="2"/>
      <c r="B11" s="7" t="s">
        <v>13</v>
      </c>
      <c r="C11" s="32">
        <v>1248</v>
      </c>
      <c r="D11" s="33">
        <f>C11*(1+H3)</f>
        <v>1747.1999999999998</v>
      </c>
      <c r="E11" s="33">
        <f>D11*(1+$I$3)</f>
        <v>2271.3599999999997</v>
      </c>
      <c r="F11" s="33">
        <f>E11*(1+$J$3)</f>
        <v>2725.6319999999996</v>
      </c>
      <c r="G11" s="33">
        <f>F11*(1+$K$3)</f>
        <v>3270.7583999999993</v>
      </c>
      <c r="H11" s="33">
        <f>G11*(1+$L$3)</f>
        <v>3924.9100799999987</v>
      </c>
      <c r="I11" s="33">
        <f>H11*(1+$C$8)</f>
        <v>4238.9028863999993</v>
      </c>
      <c r="J11" s="33">
        <f>I11*(1+$C$8)</f>
        <v>4578.0151173119993</v>
      </c>
      <c r="K11" s="33">
        <f>J11*(1+$C$8)</f>
        <v>4944.2563266969601</v>
      </c>
      <c r="L11" s="33">
        <f>K11*(1+$C$8)</f>
        <v>5339.796832832717</v>
      </c>
      <c r="M11" s="33">
        <f>L11*(1+$C$8)</f>
        <v>5766.9805794593349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78815.401252610885</v>
      </c>
    </row>
    <row r="13" spans="1:13" ht="20" thickBot="1">
      <c r="A13" s="2"/>
      <c r="B13" s="35" t="s">
        <v>15</v>
      </c>
      <c r="C13" s="34"/>
      <c r="D13" s="33">
        <f t="shared" ref="D13:L13" si="0">D11</f>
        <v>1747.1999999999998</v>
      </c>
      <c r="E13" s="33">
        <f t="shared" si="0"/>
        <v>2271.3599999999997</v>
      </c>
      <c r="F13" s="33">
        <f t="shared" si="0"/>
        <v>2725.6319999999996</v>
      </c>
      <c r="G13" s="33">
        <f t="shared" si="0"/>
        <v>3270.7583999999993</v>
      </c>
      <c r="H13" s="33">
        <f t="shared" si="0"/>
        <v>3924.9100799999987</v>
      </c>
      <c r="I13" s="33">
        <f t="shared" si="0"/>
        <v>4238.9028863999993</v>
      </c>
      <c r="J13" s="33">
        <f t="shared" si="0"/>
        <v>4578.0151173119993</v>
      </c>
      <c r="K13" s="33">
        <f t="shared" si="0"/>
        <v>4944.2563266969601</v>
      </c>
      <c r="L13" s="33">
        <f t="shared" si="0"/>
        <v>5339.796832832717</v>
      </c>
      <c r="M13" s="60">
        <f>M11+M12</f>
        <v>84582.381832070227</v>
      </c>
    </row>
    <row r="14" spans="1:13" ht="15" thickBot="1">
      <c r="A14" s="2"/>
      <c r="B14" s="36" t="s">
        <v>35</v>
      </c>
      <c r="C14" s="37">
        <f>C11/J5</f>
        <v>0.13723334066417417</v>
      </c>
      <c r="D14" s="37">
        <f>C14*(1+$H$3)/(1+$H$4)</f>
        <v>0.1601055641082032</v>
      </c>
      <c r="E14" s="37">
        <f>D14*(1+$I$3)/(1+$I$4)</f>
        <v>0.18921566667333103</v>
      </c>
      <c r="F14" s="37">
        <f>E14*(1+$J$3)/(1+$J$4)</f>
        <v>0.2064170909163611</v>
      </c>
      <c r="G14" s="37">
        <f>F14*(1+$K$3)/(1+$K$4)</f>
        <v>0.22518228099966664</v>
      </c>
      <c r="H14" s="37">
        <f>G14*(1+$L$3)/(1+$L$4)</f>
        <v>0.24565339745418174</v>
      </c>
      <c r="I14" s="61">
        <f>H14*(1+$C$8)/(1+$J$8)</f>
        <v>0.24118697204592388</v>
      </c>
      <c r="J14" s="61">
        <f>I14*(1+$C$8)/(1+$J$8)</f>
        <v>0.23680175437236159</v>
      </c>
      <c r="K14" s="61">
        <f>J14*(1+$C$8)/(1+$J$8)</f>
        <v>0.23249626792922773</v>
      </c>
      <c r="L14" s="61">
        <f>K14*(1+$C$8)/(1+$J$8)</f>
        <v>0.22826906305778724</v>
      </c>
      <c r="M14" s="61">
        <f>L14*(1+$C$8)/(1+$J$8)</f>
        <v>0.22411871645673656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54" t="s">
        <v>16</v>
      </c>
      <c r="C16" s="355"/>
      <c r="D16" s="40"/>
      <c r="E16" s="356" t="s">
        <v>80</v>
      </c>
      <c r="F16" s="357">
        <f>C22</f>
        <v>130.65632314377132</v>
      </c>
      <c r="G16" s="357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52107.653379783267</v>
      </c>
      <c r="D17" s="40"/>
      <c r="E17" s="357"/>
      <c r="F17" s="357"/>
      <c r="G17" s="357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1767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3180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55">
        <f>C17+C18-C19</f>
        <v>50694.653379783267</v>
      </c>
      <c r="D20" s="47"/>
      <c r="E20" s="358" t="s">
        <v>22</v>
      </c>
      <c r="F20" s="359">
        <f>C23</f>
        <v>138.72</v>
      </c>
      <c r="G20" s="359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388</v>
      </c>
      <c r="D21" s="47"/>
      <c r="E21" s="358"/>
      <c r="F21" s="359"/>
      <c r="G21" s="359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130.65632314377132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138.72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-5.812915842148704E-2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50" t="s">
        <v>36</v>
      </c>
    </row>
    <row r="30" spans="1:13">
      <c r="B30" s="352"/>
    </row>
    <row r="31" spans="1:13">
      <c r="B31" s="352"/>
    </row>
    <row r="32" spans="1:13">
      <c r="B32" s="35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zoomScale="162" workbookViewId="0">
      <selection activeCell="J23" sqref="J23"/>
    </sheetView>
  </sheetViews>
  <sheetFormatPr baseColWidth="10" defaultColWidth="9" defaultRowHeight="14"/>
  <cols>
    <col min="2" max="2" width="20.1640625" customWidth="1"/>
    <col min="3" max="3" width="16.33203125" style="1" customWidth="1"/>
    <col min="4" max="4" width="12.5" style="1" customWidth="1"/>
    <col min="5" max="6" width="10.1640625" style="1"/>
    <col min="7" max="7" width="21.83203125" style="1" customWidth="1"/>
    <col min="8" max="8" width="10.1640625" style="1"/>
    <col min="9" max="9" width="15.6640625" style="1" customWidth="1"/>
    <col min="10" max="12" width="10.1640625" style="1"/>
    <col min="13" max="13" width="12.6640625" style="1"/>
  </cols>
  <sheetData>
    <row r="1" spans="1:13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7">
      <c r="A2" s="2"/>
      <c r="B2" s="4" t="s">
        <v>0</v>
      </c>
      <c r="C2" s="102" t="s">
        <v>37</v>
      </c>
      <c r="D2" s="6"/>
      <c r="E2" s="6"/>
      <c r="F2" s="6"/>
      <c r="G2" s="6"/>
      <c r="H2" s="6"/>
      <c r="I2" s="6"/>
      <c r="J2" s="6"/>
      <c r="K2" s="6"/>
      <c r="L2" s="6"/>
      <c r="M2" s="6"/>
    </row>
    <row r="3" spans="1:13" ht="18">
      <c r="A3" s="2"/>
      <c r="B3" s="7" t="s">
        <v>38</v>
      </c>
      <c r="C3" s="13">
        <v>0.05</v>
      </c>
      <c r="D3" s="6"/>
      <c r="E3" s="6"/>
      <c r="F3" s="10"/>
      <c r="G3" s="11" t="s">
        <v>29</v>
      </c>
      <c r="H3" s="12">
        <v>0.1</v>
      </c>
      <c r="I3" s="12">
        <v>0.1</v>
      </c>
      <c r="J3" s="12">
        <v>0.1</v>
      </c>
      <c r="K3" s="12">
        <v>0.1</v>
      </c>
      <c r="L3" s="12">
        <v>0.08</v>
      </c>
      <c r="M3" s="6"/>
    </row>
    <row r="4" spans="1:13" ht="18">
      <c r="A4" s="2"/>
      <c r="B4" s="7" t="s">
        <v>39</v>
      </c>
      <c r="C4" s="13">
        <v>2.5000000000000001E-2</v>
      </c>
      <c r="D4" s="6"/>
      <c r="E4" s="6"/>
      <c r="F4" s="15"/>
      <c r="G4" s="16" t="s">
        <v>30</v>
      </c>
      <c r="H4" s="12">
        <v>0.6</v>
      </c>
      <c r="I4" s="12">
        <v>0.4</v>
      </c>
      <c r="J4" s="12">
        <v>0.2</v>
      </c>
      <c r="K4" s="12">
        <v>0.15</v>
      </c>
      <c r="L4" s="12">
        <v>0.1</v>
      </c>
      <c r="M4" s="6"/>
    </row>
    <row r="5" spans="1:13" ht="17" customHeight="1">
      <c r="A5" s="2"/>
      <c r="B5" s="17" t="s">
        <v>40</v>
      </c>
      <c r="C5" s="13">
        <v>0.1</v>
      </c>
      <c r="D5" s="6"/>
      <c r="E5" s="6"/>
      <c r="F5" s="6"/>
      <c r="G5" s="6"/>
      <c r="H5" s="6"/>
      <c r="I5" s="57" t="s">
        <v>31</v>
      </c>
      <c r="J5" s="32">
        <v>341593</v>
      </c>
      <c r="K5" s="6"/>
      <c r="L5" s="6"/>
      <c r="M5" s="6"/>
    </row>
    <row r="6" spans="1:13" ht="34">
      <c r="A6" s="2"/>
      <c r="B6" s="7" t="s">
        <v>41</v>
      </c>
      <c r="C6" s="13">
        <v>0.12</v>
      </c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7">
      <c r="A7" s="2"/>
      <c r="B7" s="7" t="s">
        <v>42</v>
      </c>
      <c r="C7" s="13"/>
      <c r="D7" s="6"/>
      <c r="E7" s="6"/>
      <c r="F7" s="6"/>
      <c r="G7" s="6"/>
      <c r="H7" s="6"/>
      <c r="I7" s="58" t="s">
        <v>43</v>
      </c>
      <c r="J7" s="59">
        <v>0.4</v>
      </c>
      <c r="K7" s="6"/>
      <c r="L7" s="6"/>
      <c r="M7" s="6"/>
    </row>
    <row r="8" spans="1:13" ht="15" customHeight="1">
      <c r="A8" s="6"/>
      <c r="B8" s="7" t="s">
        <v>44</v>
      </c>
      <c r="C8" s="13">
        <v>0.05</v>
      </c>
      <c r="D8" s="6"/>
      <c r="E8" s="6"/>
      <c r="F8" s="6"/>
      <c r="G8" s="6"/>
      <c r="H8" s="6"/>
      <c r="I8" s="58" t="s">
        <v>45</v>
      </c>
      <c r="J8" s="59">
        <v>0.05</v>
      </c>
      <c r="K8" s="6"/>
      <c r="L8" s="6" t="s">
        <v>34</v>
      </c>
      <c r="M8" s="6"/>
    </row>
    <row r="9" spans="1:13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>
      <c r="A10" s="2"/>
      <c r="B10" s="29" t="s">
        <v>12</v>
      </c>
      <c r="C10" s="57">
        <v>2024</v>
      </c>
      <c r="D10" s="57">
        <v>2025</v>
      </c>
      <c r="E10" s="57">
        <v>2026</v>
      </c>
      <c r="F10" s="57">
        <v>2027</v>
      </c>
      <c r="G10" s="57">
        <v>2028</v>
      </c>
      <c r="H10" s="57">
        <v>2029</v>
      </c>
      <c r="I10" s="57">
        <v>2030</v>
      </c>
      <c r="J10" s="57">
        <v>2031</v>
      </c>
      <c r="K10" s="57">
        <v>2032</v>
      </c>
      <c r="L10" s="57">
        <v>2033</v>
      </c>
      <c r="M10" s="57">
        <v>2034</v>
      </c>
    </row>
    <row r="11" spans="1:13" ht="17">
      <c r="A11" s="2"/>
      <c r="B11" s="7" t="s">
        <v>46</v>
      </c>
      <c r="C11" s="32">
        <v>133704</v>
      </c>
      <c r="D11" s="33">
        <f>C11*(1+H3)</f>
        <v>147074.40000000002</v>
      </c>
      <c r="E11" s="33">
        <f>D11*(1+$I$3)</f>
        <v>161781.84000000003</v>
      </c>
      <c r="F11" s="33">
        <f>E11*(1+$J$3)</f>
        <v>177960.02400000003</v>
      </c>
      <c r="G11" s="33">
        <f>F11*(1+$K$3)</f>
        <v>195756.02640000006</v>
      </c>
      <c r="H11" s="33">
        <f>G11*(1+$L$3)</f>
        <v>211416.50851200009</v>
      </c>
      <c r="I11" s="33">
        <f>H11*(1+$C$8)</f>
        <v>221987.33393760011</v>
      </c>
      <c r="J11" s="33">
        <f>I11*(1+$C$8)</f>
        <v>233086.70063448013</v>
      </c>
      <c r="K11" s="33">
        <f>J11*(1+$C$8)</f>
        <v>244741.03566620414</v>
      </c>
      <c r="L11" s="33">
        <f>K11*(1+$C$8)</f>
        <v>256978.08744951437</v>
      </c>
      <c r="M11" s="33">
        <f>L11*(1+$C$8)</f>
        <v>269826.99182199012</v>
      </c>
    </row>
    <row r="12" spans="1:13" ht="15" customHeight="1">
      <c r="A12" s="2"/>
      <c r="B12" s="17" t="s">
        <v>47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60">
        <f>M11*(1+C4)/(C6-C4)</f>
        <v>2911291.227553051</v>
      </c>
    </row>
    <row r="13" spans="1:13" ht="19">
      <c r="A13" s="2"/>
      <c r="B13" s="35" t="s">
        <v>48</v>
      </c>
      <c r="C13" s="34"/>
      <c r="D13" s="33">
        <f t="shared" ref="D13:L13" si="0">D11</f>
        <v>147074.40000000002</v>
      </c>
      <c r="E13" s="33">
        <f t="shared" si="0"/>
        <v>161781.84000000003</v>
      </c>
      <c r="F13" s="33">
        <f t="shared" si="0"/>
        <v>177960.02400000003</v>
      </c>
      <c r="G13" s="33">
        <f t="shared" si="0"/>
        <v>195756.02640000006</v>
      </c>
      <c r="H13" s="33">
        <f t="shared" si="0"/>
        <v>211416.50851200009</v>
      </c>
      <c r="I13" s="33">
        <f t="shared" si="0"/>
        <v>221987.33393760011</v>
      </c>
      <c r="J13" s="33">
        <f t="shared" si="0"/>
        <v>233086.70063448013</v>
      </c>
      <c r="K13" s="33">
        <f t="shared" si="0"/>
        <v>244741.03566620414</v>
      </c>
      <c r="L13" s="33">
        <f t="shared" si="0"/>
        <v>256978.08744951437</v>
      </c>
      <c r="M13" s="60">
        <f>M11+M12</f>
        <v>3181118.2193750413</v>
      </c>
    </row>
    <row r="14" spans="1:13">
      <c r="A14" s="2"/>
      <c r="B14" s="36" t="s">
        <v>35</v>
      </c>
      <c r="C14" s="37">
        <f>C11/J5</f>
        <v>0.39141317298656586</v>
      </c>
      <c r="D14" s="37">
        <f>C14*(1+$H$3)/(1+$H$4)</f>
        <v>0.26909655642826402</v>
      </c>
      <c r="E14" s="37">
        <f>D14*(1+$I$3)/(1+$I$4)</f>
        <v>0.21143300862220749</v>
      </c>
      <c r="F14" s="37">
        <f>E14*(1+$J$3)/(1+$J$4)</f>
        <v>0.19381359123702355</v>
      </c>
      <c r="G14" s="37">
        <f>F14*(1+$K$3)/(1+$K$4)</f>
        <v>0.18538691335715299</v>
      </c>
      <c r="H14" s="37">
        <f>G14*(1+$L$3)/(1+$L$4)</f>
        <v>0.18201624220520474</v>
      </c>
      <c r="I14" s="61">
        <f>H14*(1+$C$8)/(1+$J$8)</f>
        <v>0.18201624220520474</v>
      </c>
      <c r="J14" s="61">
        <f>I14*(1+$C$8)/(1+$J$8)</f>
        <v>0.18201624220520474</v>
      </c>
      <c r="K14" s="61">
        <f>J14*(1+$C$8)/(1+$J$8)</f>
        <v>0.18201624220520474</v>
      </c>
      <c r="L14" s="61">
        <f>K14*(1+$C$8)/(1+$J$8)</f>
        <v>0.18201624220520474</v>
      </c>
      <c r="M14" s="61">
        <f>L14*(1+$C$8)/(1+$J$8)</f>
        <v>0.18201624220520474</v>
      </c>
    </row>
    <row r="15" spans="1:13">
      <c r="A15" s="2"/>
      <c r="B15" s="38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>
      <c r="A16" s="2"/>
      <c r="B16" s="456" t="s">
        <v>16</v>
      </c>
      <c r="C16" s="457"/>
      <c r="D16" s="6"/>
      <c r="E16" s="6"/>
      <c r="F16" s="6"/>
      <c r="G16" s="6"/>
      <c r="H16" s="6"/>
      <c r="I16" s="6"/>
      <c r="J16" s="6"/>
      <c r="K16" s="6"/>
      <c r="L16" s="6"/>
      <c r="M16" s="6"/>
    </row>
    <row r="17" spans="1:13" ht="17">
      <c r="A17" s="2"/>
      <c r="B17" s="41" t="s">
        <v>49</v>
      </c>
      <c r="C17" s="42">
        <f>NPV(C6,D13:M13)</f>
        <v>2064979.1304338546</v>
      </c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7">
      <c r="A18" s="2"/>
      <c r="B18" s="43" t="s">
        <v>50</v>
      </c>
      <c r="C18" s="44">
        <v>284927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7">
      <c r="A19" s="2"/>
      <c r="B19" s="43" t="s">
        <v>51</v>
      </c>
      <c r="C19" s="32">
        <v>9765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7">
      <c r="A20" s="2"/>
      <c r="B20" s="46" t="s">
        <v>52</v>
      </c>
      <c r="C20" s="31">
        <f>C17+C18-C19</f>
        <v>2340141.1304338546</v>
      </c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7">
      <c r="A21" s="2"/>
      <c r="B21" s="48" t="s">
        <v>53</v>
      </c>
      <c r="C21" s="49">
        <v>1463</v>
      </c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7">
      <c r="A22" s="50"/>
      <c r="B22" s="51" t="s">
        <v>54</v>
      </c>
      <c r="C22" s="52">
        <f>C20/C21</f>
        <v>1599.5496448625117</v>
      </c>
      <c r="D22" s="6"/>
      <c r="E22" s="103"/>
      <c r="F22" s="103"/>
      <c r="G22" s="103"/>
      <c r="H22" s="6"/>
      <c r="I22" s="6"/>
      <c r="J22" s="6"/>
      <c r="K22" s="6"/>
      <c r="L22" s="6"/>
      <c r="M22" s="6"/>
    </row>
    <row r="23" spans="1:13" ht="17">
      <c r="A23" s="2"/>
      <c r="B23" s="43" t="s">
        <v>55</v>
      </c>
      <c r="C23" s="53">
        <v>712.2</v>
      </c>
      <c r="D23" s="104"/>
      <c r="E23" s="466" t="s">
        <v>56</v>
      </c>
      <c r="F23" s="467">
        <f>C22</f>
        <v>1599.5496448625117</v>
      </c>
      <c r="G23" s="467"/>
      <c r="H23" s="105"/>
      <c r="I23" s="6"/>
      <c r="J23" s="6"/>
      <c r="K23" s="6"/>
      <c r="L23" s="6"/>
      <c r="M23" s="6"/>
    </row>
    <row r="24" spans="1:13" ht="19">
      <c r="A24" s="2"/>
      <c r="B24" s="54" t="s">
        <v>57</v>
      </c>
      <c r="C24" s="55">
        <f>(C22-C23)/C23</f>
        <v>1.2459276114329003</v>
      </c>
      <c r="D24" s="104"/>
      <c r="E24" s="467"/>
      <c r="F24" s="467"/>
      <c r="G24" s="467"/>
      <c r="H24" s="105"/>
      <c r="I24" s="6"/>
      <c r="J24" s="6"/>
      <c r="K24" s="6"/>
      <c r="L24" s="6"/>
      <c r="M24" s="6"/>
    </row>
    <row r="25" spans="1:13" ht="17">
      <c r="A25" s="2"/>
      <c r="B25" s="56" t="s">
        <v>58</v>
      </c>
      <c r="C25" s="52" t="str">
        <f>IF(C24&gt;0,"BUY","SELL")</f>
        <v>BUY</v>
      </c>
      <c r="D25" s="6"/>
      <c r="E25" s="106"/>
      <c r="F25" s="106"/>
      <c r="G25" s="106"/>
      <c r="H25" s="6"/>
      <c r="I25" s="6"/>
      <c r="J25" s="6"/>
      <c r="K25" s="6"/>
      <c r="L25" s="6"/>
      <c r="M25" s="6"/>
    </row>
    <row r="26" spans="1:13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>
      <c r="B29" s="452" t="s">
        <v>36</v>
      </c>
      <c r="C29" s="453"/>
      <c r="D29" s="453"/>
    </row>
    <row r="30" spans="1:13">
      <c r="B30" s="454"/>
      <c r="C30" s="453"/>
      <c r="D30" s="453"/>
    </row>
    <row r="31" spans="1:13">
      <c r="B31" s="454"/>
      <c r="C31" s="453"/>
      <c r="D31" s="453"/>
    </row>
    <row r="32" spans="1:13">
      <c r="B32" s="454"/>
      <c r="C32" s="453"/>
      <c r="D32" s="453"/>
    </row>
  </sheetData>
  <mergeCells count="4">
    <mergeCell ref="B16:C16"/>
    <mergeCell ref="E23:E24"/>
    <mergeCell ref="B29:D32"/>
    <mergeCell ref="F23:G24"/>
  </mergeCells>
  <phoneticPr fontId="23" type="noConversion"/>
  <pageMargins left="0.75" right="0.75" top="1" bottom="1" header="0.5" footer="0.5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7488-075A-D54F-9F6B-EC52DB57CEB8}">
  <dimension ref="A1:M36"/>
  <sheetViews>
    <sheetView topLeftCell="A4" zoomScale="115" workbookViewId="0">
      <selection activeCell="F24" sqref="A1:XFD1048576"/>
    </sheetView>
  </sheetViews>
  <sheetFormatPr baseColWidth="10" defaultColWidth="9" defaultRowHeight="14"/>
  <cols>
    <col min="2" max="2" width="26" customWidth="1"/>
    <col min="3" max="3" width="21.83203125" style="361" customWidth="1"/>
    <col min="4" max="4" width="12.5" style="361" customWidth="1"/>
    <col min="5" max="5" width="15.6640625" style="361" customWidth="1"/>
    <col min="6" max="6" width="21.5" style="361" bestFit="1" customWidth="1"/>
    <col min="7" max="7" width="21.83203125" style="361" customWidth="1"/>
    <col min="8" max="8" width="12" style="361" bestFit="1" customWidth="1"/>
    <col min="9" max="9" width="15.6640625" style="361" customWidth="1"/>
    <col min="10" max="12" width="12" style="361" bestFit="1" customWidth="1"/>
    <col min="13" max="13" width="15" style="361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thickTop="1" thickBot="1">
      <c r="A2" s="2"/>
      <c r="B2" s="4" t="s">
        <v>0</v>
      </c>
      <c r="C2" s="5" t="s">
        <v>157</v>
      </c>
      <c r="E2" s="10"/>
      <c r="F2" s="422">
        <v>2025</v>
      </c>
      <c r="G2" s="422">
        <v>2026</v>
      </c>
      <c r="H2" s="422">
        <v>2027</v>
      </c>
      <c r="I2" s="422">
        <v>2028</v>
      </c>
      <c r="J2" s="422">
        <v>2029</v>
      </c>
      <c r="K2" s="6"/>
      <c r="L2" s="6"/>
      <c r="M2" s="6"/>
    </row>
    <row r="3" spans="1:13" ht="18" thickBot="1">
      <c r="A3" s="2"/>
      <c r="B3" s="7" t="s">
        <v>209</v>
      </c>
      <c r="C3" s="8">
        <v>0.1</v>
      </c>
      <c r="D3" s="6"/>
      <c r="E3" s="58" t="s">
        <v>29</v>
      </c>
      <c r="F3" s="59">
        <v>8</v>
      </c>
      <c r="G3" s="59">
        <v>0.5</v>
      </c>
      <c r="H3" s="59">
        <v>0.4</v>
      </c>
      <c r="I3" s="59">
        <v>0.36</v>
      </c>
      <c r="J3" s="59">
        <v>0.2</v>
      </c>
      <c r="M3" s="6"/>
    </row>
    <row r="4" spans="1:13" ht="18" thickBot="1">
      <c r="A4" s="2"/>
      <c r="B4" s="7" t="s">
        <v>210</v>
      </c>
      <c r="C4" s="13">
        <v>2.5000000000000001E-2</v>
      </c>
      <c r="D4" s="6"/>
      <c r="E4" s="58" t="s">
        <v>30</v>
      </c>
      <c r="F4" s="59">
        <v>0.35</v>
      </c>
      <c r="G4" s="59">
        <v>0.32</v>
      </c>
      <c r="H4" s="59">
        <v>0.3</v>
      </c>
      <c r="I4" s="59">
        <v>0.2</v>
      </c>
      <c r="J4" s="59">
        <v>0.2</v>
      </c>
      <c r="M4" s="6"/>
    </row>
    <row r="5" spans="1:13" ht="17" customHeight="1" thickBot="1">
      <c r="A5" s="2"/>
      <c r="B5" s="17" t="s">
        <v>211</v>
      </c>
      <c r="C5" s="13">
        <v>0.1</v>
      </c>
      <c r="D5" s="6"/>
      <c r="E5" s="18"/>
      <c r="F5" s="15"/>
      <c r="G5" s="19"/>
      <c r="H5" s="6"/>
      <c r="K5" s="6"/>
      <c r="L5" s="6"/>
      <c r="M5" s="6"/>
    </row>
    <row r="6" spans="1:13" ht="21" customHeight="1" thickTop="1" thickBot="1">
      <c r="A6" s="2"/>
      <c r="B6" s="7" t="s">
        <v>212</v>
      </c>
      <c r="C6" s="13">
        <v>0.1</v>
      </c>
      <c r="D6" s="6"/>
      <c r="G6" s="10"/>
      <c r="H6" s="6"/>
      <c r="K6" s="6"/>
      <c r="L6" s="6"/>
      <c r="M6" s="6"/>
    </row>
    <row r="7" spans="1:13" ht="19" thickTop="1" thickBot="1">
      <c r="A7" s="2"/>
      <c r="B7" s="7" t="s">
        <v>213</v>
      </c>
      <c r="C7" s="20">
        <v>0.20930000000000001</v>
      </c>
      <c r="D7" s="6"/>
      <c r="E7" s="57" t="s">
        <v>31</v>
      </c>
      <c r="F7" s="32">
        <v>531.29</v>
      </c>
      <c r="G7" s="10"/>
      <c r="H7" s="6"/>
      <c r="K7" s="6"/>
      <c r="L7" s="6"/>
      <c r="M7" s="6"/>
    </row>
    <row r="8" spans="1:13" ht="15" customHeight="1" thickTop="1" thickBot="1">
      <c r="A8" s="2"/>
      <c r="B8" s="24" t="s">
        <v>214</v>
      </c>
      <c r="C8" s="25">
        <v>0.05</v>
      </c>
      <c r="D8" s="6"/>
      <c r="E8" s="58" t="s">
        <v>223</v>
      </c>
      <c r="F8" s="59">
        <v>0.05</v>
      </c>
      <c r="G8" s="10"/>
      <c r="H8" s="6"/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63" t="s">
        <v>12</v>
      </c>
      <c r="C10" s="30">
        <v>2025</v>
      </c>
      <c r="D10" s="364">
        <v>2026</v>
      </c>
      <c r="E10" s="364">
        <v>2027</v>
      </c>
      <c r="F10" s="364">
        <v>2028</v>
      </c>
      <c r="G10" s="364">
        <v>2029</v>
      </c>
      <c r="H10" s="364">
        <v>2030</v>
      </c>
      <c r="I10" s="364">
        <v>2031</v>
      </c>
      <c r="J10" s="364">
        <v>2032</v>
      </c>
      <c r="K10" s="364">
        <v>2033</v>
      </c>
      <c r="L10" s="364">
        <v>2034</v>
      </c>
      <c r="M10" s="364">
        <v>2035</v>
      </c>
    </row>
    <row r="11" spans="1:13" ht="18" thickBot="1">
      <c r="A11" s="2"/>
      <c r="B11" s="7" t="s">
        <v>215</v>
      </c>
      <c r="C11" s="32">
        <v>17.350000000000001</v>
      </c>
      <c r="D11" s="33">
        <f>C11*(1+F3)</f>
        <v>156.15</v>
      </c>
      <c r="E11" s="33">
        <f>D11*(1+$G$3)</f>
        <v>234.22500000000002</v>
      </c>
      <c r="F11" s="33">
        <f>E11*(1+$H$3)</f>
        <v>327.91500000000002</v>
      </c>
      <c r="G11" s="33">
        <f>F11*(1+$I$3)</f>
        <v>445.96440000000001</v>
      </c>
      <c r="H11" s="33">
        <f>G11*(1+$J$3)</f>
        <v>535.15728000000001</v>
      </c>
      <c r="I11" s="33">
        <f>H11*(1+$C$8)</f>
        <v>561.91514400000005</v>
      </c>
      <c r="J11" s="33">
        <f>I11*(1+$C$8)</f>
        <v>590.01090120000003</v>
      </c>
      <c r="K11" s="33">
        <f>J11*(1+$C$8)</f>
        <v>619.51144626000007</v>
      </c>
      <c r="L11" s="33">
        <f>K11*(1+$C$8)</f>
        <v>650.48701857300011</v>
      </c>
      <c r="M11" s="33">
        <f>L11*(1+$C$8)</f>
        <v>683.01136950165017</v>
      </c>
    </row>
    <row r="12" spans="1:13" ht="18" thickBot="1">
      <c r="A12" s="2"/>
      <c r="B12" s="17" t="s">
        <v>216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9334.48871652255</v>
      </c>
    </row>
    <row r="13" spans="1:13" ht="20" thickBot="1">
      <c r="A13" s="2"/>
      <c r="B13" s="35" t="s">
        <v>217</v>
      </c>
      <c r="C13" s="34"/>
      <c r="D13" s="33">
        <f t="shared" ref="D13:L13" si="0">D11</f>
        <v>156.15</v>
      </c>
      <c r="E13" s="33">
        <f t="shared" si="0"/>
        <v>234.22500000000002</v>
      </c>
      <c r="F13" s="33">
        <f t="shared" si="0"/>
        <v>327.91500000000002</v>
      </c>
      <c r="G13" s="33">
        <f t="shared" si="0"/>
        <v>445.96440000000001</v>
      </c>
      <c r="H13" s="33">
        <f t="shared" si="0"/>
        <v>535.15728000000001</v>
      </c>
      <c r="I13" s="33">
        <f t="shared" si="0"/>
        <v>561.91514400000005</v>
      </c>
      <c r="J13" s="33">
        <f t="shared" si="0"/>
        <v>590.01090120000003</v>
      </c>
      <c r="K13" s="33">
        <f t="shared" si="0"/>
        <v>619.51144626000007</v>
      </c>
      <c r="L13" s="33">
        <f t="shared" si="0"/>
        <v>650.48701857300011</v>
      </c>
      <c r="M13" s="60">
        <f>M11+M12</f>
        <v>10017.5000860242</v>
      </c>
    </row>
    <row r="14" spans="1:13" ht="15" thickBot="1">
      <c r="A14" s="2"/>
      <c r="B14" s="431" t="s">
        <v>35</v>
      </c>
      <c r="C14" s="37">
        <f>C11/F7</f>
        <v>3.265636469724633E-2</v>
      </c>
      <c r="D14" s="37">
        <f>C14*(1+$F$3)/(1+$F$4)</f>
        <v>0.21770909798164217</v>
      </c>
      <c r="E14" s="37">
        <f>D14*(1+$G$3)/(1+$G$4)</f>
        <v>0.24739670225186611</v>
      </c>
      <c r="F14" s="37">
        <f>E14*(1+$H$3)/(1+$H$4)</f>
        <v>0.26642721780970197</v>
      </c>
      <c r="G14" s="37">
        <f>F14*(1+$I$3)/(1+$I$4)</f>
        <v>0.30195084685099555</v>
      </c>
      <c r="H14" s="37">
        <f>G14*(1+$J$3)/(1+$J$4)</f>
        <v>0.30195084685099555</v>
      </c>
      <c r="I14" s="61">
        <f>H14*(1+$C$8)/(1+$F$8)</f>
        <v>0.30195084685099555</v>
      </c>
      <c r="J14" s="61">
        <f>I14*(1+$C$8)/(1+$F$8)</f>
        <v>0.30195084685099555</v>
      </c>
      <c r="K14" s="61">
        <f>J14*(1+$C$8)/(1+$F$8)</f>
        <v>0.30195084685099555</v>
      </c>
      <c r="L14" s="61">
        <f>K14*(1+$C$8)/(1+$F$8)</f>
        <v>0.30195084685099555</v>
      </c>
      <c r="M14" s="61">
        <f>L14*(1+$C$8)/(1+$F$8)</f>
        <v>0.30195084685099555</v>
      </c>
    </row>
    <row r="15" spans="1:13" ht="16" thickBot="1">
      <c r="A15" s="6"/>
      <c r="B15" s="430" t="s">
        <v>208</v>
      </c>
      <c r="C15" s="37">
        <f>C11/C14</f>
        <v>531.29</v>
      </c>
      <c r="D15" s="37">
        <f t="shared" ref="D15:M15" si="1">D11/D14</f>
        <v>717.24149999999997</v>
      </c>
      <c r="E15" s="37">
        <f t="shared" si="1"/>
        <v>946.75878</v>
      </c>
      <c r="F15" s="37">
        <f t="shared" si="1"/>
        <v>1230.7864139999999</v>
      </c>
      <c r="G15" s="37">
        <f>G11/G14</f>
        <v>1476.9436968</v>
      </c>
      <c r="H15" s="37">
        <f t="shared" si="1"/>
        <v>1772.33243616</v>
      </c>
      <c r="I15" s="37">
        <f t="shared" si="1"/>
        <v>1860.9490579680003</v>
      </c>
      <c r="J15" s="37">
        <f t="shared" si="1"/>
        <v>1953.9965108664001</v>
      </c>
      <c r="K15" s="37">
        <f t="shared" si="1"/>
        <v>2051.6963364097201</v>
      </c>
      <c r="L15" s="37">
        <f t="shared" si="1"/>
        <v>2154.2811532302062</v>
      </c>
      <c r="M15" s="37">
        <f t="shared" si="1"/>
        <v>2261.9952108917169</v>
      </c>
    </row>
    <row r="16" spans="1:13" ht="15" customHeight="1" thickBot="1">
      <c r="A16" s="2"/>
      <c r="H16" s="6"/>
      <c r="I16" s="6"/>
      <c r="J16" s="6"/>
      <c r="K16" s="6"/>
      <c r="L16" s="6"/>
      <c r="M16" s="6"/>
    </row>
    <row r="17" spans="1:13" ht="18" customHeight="1" thickBot="1">
      <c r="A17" s="2"/>
      <c r="B17" s="363" t="s">
        <v>16</v>
      </c>
      <c r="C17" s="364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thickBot="1">
      <c r="A18" s="2"/>
      <c r="B18" s="41" t="s">
        <v>218</v>
      </c>
      <c r="C18" s="42">
        <f>NPV(C6,D13:M13)</f>
        <v>6265.7984963895415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219</v>
      </c>
      <c r="C19" s="32">
        <v>400.58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8" customHeight="1" thickBot="1">
      <c r="A20" s="2"/>
      <c r="B20" s="43" t="s">
        <v>220</v>
      </c>
      <c r="C20" s="32">
        <v>518.82000000000005</v>
      </c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" customHeight="1" thickBot="1">
      <c r="A21" s="2"/>
      <c r="B21" s="46" t="s">
        <v>221</v>
      </c>
      <c r="C21" s="364">
        <f>C18+C19-C20</f>
        <v>6147.5584963895417</v>
      </c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" thickBot="1">
      <c r="A22" s="50"/>
      <c r="B22" s="48" t="s">
        <v>222</v>
      </c>
      <c r="C22" s="49">
        <v>38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51" t="s">
        <v>224</v>
      </c>
      <c r="C23" s="52">
        <f>C21/C22</f>
        <v>161.77785516814583</v>
      </c>
      <c r="D23" s="6"/>
      <c r="E23" s="43" t="s">
        <v>225</v>
      </c>
      <c r="F23" s="43">
        <f>C24</f>
        <v>117.18</v>
      </c>
      <c r="G23" s="6"/>
      <c r="H23" s="6"/>
      <c r="I23" s="6"/>
      <c r="J23" s="6"/>
      <c r="K23" s="6"/>
      <c r="L23" s="6"/>
      <c r="M23" s="6"/>
    </row>
    <row r="24" spans="1:13" ht="18" thickBot="1">
      <c r="A24" s="2"/>
      <c r="B24" s="43" t="s">
        <v>225</v>
      </c>
      <c r="C24" s="53">
        <v>117.18</v>
      </c>
      <c r="D24" s="6"/>
      <c r="E24" s="432" t="s">
        <v>228</v>
      </c>
      <c r="F24" s="422">
        <f>C23</f>
        <v>161.77785516814583</v>
      </c>
      <c r="H24" s="6"/>
      <c r="I24" s="6"/>
      <c r="J24" s="6"/>
      <c r="K24" s="6"/>
      <c r="L24" s="6"/>
      <c r="M24" s="6"/>
    </row>
    <row r="25" spans="1:13" ht="20" thickBot="1">
      <c r="A25" s="2"/>
      <c r="B25" s="54" t="s">
        <v>226</v>
      </c>
      <c r="C25" s="55">
        <f>(C23-C24)/C24</f>
        <v>0.38059272203572131</v>
      </c>
      <c r="D25" s="6"/>
      <c r="E25" s="6"/>
      <c r="F25" s="424"/>
      <c r="G25" s="6"/>
      <c r="H25" s="6"/>
      <c r="I25" s="6"/>
      <c r="J25" s="6"/>
      <c r="K25" s="6"/>
      <c r="L25" s="6"/>
      <c r="M25" s="6"/>
    </row>
    <row r="26" spans="1:13" ht="18" thickBot="1">
      <c r="A26" s="2"/>
      <c r="B26" s="56" t="s">
        <v>227</v>
      </c>
      <c r="C26" s="52" t="str">
        <f>IF(C25&gt;0,"BUY","SELL")</f>
        <v>BUY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13" customHeight="1">
      <c r="B29" s="423" t="s">
        <v>229</v>
      </c>
    </row>
    <row r="30" spans="1:13">
      <c r="B30" s="362"/>
    </row>
    <row r="31" spans="1:13">
      <c r="B31" s="362"/>
    </row>
    <row r="32" spans="1:13">
      <c r="B32" s="362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60AD-F16A-E540-A71E-4A0882391D5F}">
  <dimension ref="A1:M36"/>
  <sheetViews>
    <sheetView zoomScale="125" workbookViewId="0">
      <selection activeCell="E17" sqref="A1:XFD1048576"/>
    </sheetView>
  </sheetViews>
  <sheetFormatPr baseColWidth="10" defaultColWidth="9" defaultRowHeight="14"/>
  <cols>
    <col min="2" max="2" width="26" customWidth="1"/>
    <col min="3" max="3" width="21.83203125" style="433" customWidth="1"/>
    <col min="4" max="4" width="12.5" style="433" customWidth="1"/>
    <col min="5" max="5" width="15.6640625" style="433" customWidth="1"/>
    <col min="6" max="6" width="21.5" style="433" bestFit="1" customWidth="1"/>
    <col min="7" max="7" width="21.83203125" style="433" customWidth="1"/>
    <col min="8" max="8" width="12" style="433" bestFit="1" customWidth="1"/>
    <col min="9" max="9" width="15.6640625" style="433" customWidth="1"/>
    <col min="10" max="12" width="12" style="433" bestFit="1" customWidth="1"/>
    <col min="13" max="13" width="15" style="433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thickTop="1" thickBot="1">
      <c r="A2" s="2"/>
      <c r="B2" s="4" t="s">
        <v>0</v>
      </c>
      <c r="C2" s="5" t="s">
        <v>148</v>
      </c>
      <c r="E2" s="10"/>
      <c r="F2" s="436">
        <v>2025</v>
      </c>
      <c r="G2" s="436">
        <v>2026</v>
      </c>
      <c r="H2" s="436">
        <v>2027</v>
      </c>
      <c r="I2" s="436">
        <v>2028</v>
      </c>
      <c r="J2" s="436">
        <v>2029</v>
      </c>
      <c r="K2" s="6"/>
      <c r="L2" s="6"/>
      <c r="M2" s="6"/>
    </row>
    <row r="3" spans="1:13" ht="18" thickBot="1">
      <c r="A3" s="2"/>
      <c r="B3" s="7" t="s">
        <v>209</v>
      </c>
      <c r="C3" s="8">
        <v>0.1</v>
      </c>
      <c r="D3" s="6"/>
      <c r="E3" s="58" t="s">
        <v>29</v>
      </c>
      <c r="F3" s="59">
        <v>0.05</v>
      </c>
      <c r="G3" s="59">
        <v>0.05</v>
      </c>
      <c r="H3" s="59">
        <v>0.05</v>
      </c>
      <c r="I3" s="59">
        <v>0.05</v>
      </c>
      <c r="J3" s="59">
        <v>0.05</v>
      </c>
      <c r="M3" s="6"/>
    </row>
    <row r="4" spans="1:13" ht="18" thickBot="1">
      <c r="A4" s="2"/>
      <c r="B4" s="7" t="s">
        <v>210</v>
      </c>
      <c r="C4" s="13">
        <v>2.5000000000000001E-2</v>
      </c>
      <c r="D4" s="6"/>
      <c r="E4" s="58" t="s">
        <v>30</v>
      </c>
      <c r="F4" s="59">
        <v>0.06</v>
      </c>
      <c r="G4" s="59">
        <v>0.05</v>
      </c>
      <c r="H4" s="59">
        <v>0.05</v>
      </c>
      <c r="I4" s="59">
        <v>0.05</v>
      </c>
      <c r="J4" s="59">
        <v>0.05</v>
      </c>
      <c r="M4" s="6"/>
    </row>
    <row r="5" spans="1:13" ht="17" customHeight="1" thickBot="1">
      <c r="A5" s="2"/>
      <c r="B5" s="17" t="s">
        <v>211</v>
      </c>
      <c r="C5" s="13">
        <v>0.1</v>
      </c>
      <c r="D5" s="6"/>
      <c r="E5" s="18"/>
      <c r="F5" s="15"/>
      <c r="G5" s="19"/>
      <c r="H5" s="6"/>
      <c r="K5" s="6"/>
      <c r="L5" s="6"/>
      <c r="M5" s="6"/>
    </row>
    <row r="6" spans="1:13" ht="21" customHeight="1" thickTop="1" thickBot="1">
      <c r="A6" s="2"/>
      <c r="B6" s="7" t="s">
        <v>212</v>
      </c>
      <c r="C6" s="13">
        <v>0.1</v>
      </c>
      <c r="D6" s="6"/>
      <c r="G6" s="10"/>
      <c r="H6" s="6"/>
      <c r="K6" s="6"/>
      <c r="L6" s="6"/>
      <c r="M6" s="6"/>
    </row>
    <row r="7" spans="1:13" ht="19" thickTop="1" thickBot="1">
      <c r="A7" s="2"/>
      <c r="B7" s="7" t="s">
        <v>213</v>
      </c>
      <c r="C7" s="20">
        <v>0.20930000000000001</v>
      </c>
      <c r="D7" s="6"/>
      <c r="E7" s="57" t="s">
        <v>31</v>
      </c>
      <c r="F7" s="32">
        <v>2475</v>
      </c>
      <c r="G7" s="10"/>
      <c r="H7" s="6"/>
      <c r="K7" s="6"/>
      <c r="L7" s="6"/>
      <c r="M7" s="6"/>
    </row>
    <row r="8" spans="1:13" ht="15" customHeight="1" thickTop="1" thickBot="1">
      <c r="A8" s="2"/>
      <c r="B8" s="24" t="s">
        <v>214</v>
      </c>
      <c r="C8" s="25">
        <v>0.03</v>
      </c>
      <c r="D8" s="6"/>
      <c r="E8" s="58" t="s">
        <v>223</v>
      </c>
      <c r="F8" s="59">
        <v>0.05</v>
      </c>
      <c r="G8" s="10"/>
      <c r="H8" s="6"/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35" t="s">
        <v>12</v>
      </c>
      <c r="C10" s="30">
        <v>2025</v>
      </c>
      <c r="D10" s="436">
        <v>2026</v>
      </c>
      <c r="E10" s="436">
        <v>2027</v>
      </c>
      <c r="F10" s="436">
        <v>2028</v>
      </c>
      <c r="G10" s="436">
        <v>2029</v>
      </c>
      <c r="H10" s="436">
        <v>2030</v>
      </c>
      <c r="I10" s="436">
        <v>2031</v>
      </c>
      <c r="J10" s="436">
        <v>2032</v>
      </c>
      <c r="K10" s="436">
        <v>2033</v>
      </c>
      <c r="L10" s="436">
        <v>2034</v>
      </c>
      <c r="M10" s="436">
        <v>2035</v>
      </c>
    </row>
    <row r="11" spans="1:13" ht="18" thickBot="1">
      <c r="A11" s="2"/>
      <c r="B11" s="7" t="s">
        <v>215</v>
      </c>
      <c r="C11" s="32">
        <v>377.62</v>
      </c>
      <c r="D11" s="33">
        <f>C11*(1+F3)</f>
        <v>396.50100000000003</v>
      </c>
      <c r="E11" s="33">
        <f>D11*(1+$G$3)</f>
        <v>416.32605000000007</v>
      </c>
      <c r="F11" s="33">
        <f>E11*(1+$H$3)</f>
        <v>437.14235250000007</v>
      </c>
      <c r="G11" s="33">
        <f>F11*(1+$I$3)</f>
        <v>458.99947012500007</v>
      </c>
      <c r="H11" s="33">
        <f>G11*(1+$J$3)</f>
        <v>481.94944363125012</v>
      </c>
      <c r="I11" s="33">
        <f>H11*(1+$C$8)</f>
        <v>496.40792694018762</v>
      </c>
      <c r="J11" s="33">
        <f>I11*(1+$C$8)</f>
        <v>511.30016474839329</v>
      </c>
      <c r="K11" s="33">
        <f>J11*(1+$C$8)</f>
        <v>526.63916969084505</v>
      </c>
      <c r="L11" s="33">
        <f>K11*(1+$C$8)</f>
        <v>542.43834478157044</v>
      </c>
      <c r="M11" s="33">
        <f>L11*(1+$C$8)</f>
        <v>558.71149512501756</v>
      </c>
    </row>
    <row r="12" spans="1:13" ht="18" thickBot="1">
      <c r="A12" s="2"/>
      <c r="B12" s="17" t="s">
        <v>216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7635.7237667085719</v>
      </c>
    </row>
    <row r="13" spans="1:13" ht="20" thickBot="1">
      <c r="A13" s="2"/>
      <c r="B13" s="35" t="s">
        <v>217</v>
      </c>
      <c r="C13" s="34"/>
      <c r="D13" s="33">
        <f t="shared" ref="D13:L13" si="0">D11</f>
        <v>396.50100000000003</v>
      </c>
      <c r="E13" s="33">
        <f t="shared" si="0"/>
        <v>416.32605000000007</v>
      </c>
      <c r="F13" s="33">
        <f t="shared" si="0"/>
        <v>437.14235250000007</v>
      </c>
      <c r="G13" s="33">
        <f t="shared" si="0"/>
        <v>458.99947012500007</v>
      </c>
      <c r="H13" s="33">
        <f t="shared" si="0"/>
        <v>481.94944363125012</v>
      </c>
      <c r="I13" s="33">
        <f t="shared" si="0"/>
        <v>496.40792694018762</v>
      </c>
      <c r="J13" s="33">
        <f t="shared" si="0"/>
        <v>511.30016474839329</v>
      </c>
      <c r="K13" s="33">
        <f t="shared" si="0"/>
        <v>526.63916969084505</v>
      </c>
      <c r="L13" s="33">
        <f t="shared" si="0"/>
        <v>542.43834478157044</v>
      </c>
      <c r="M13" s="60">
        <f>M11+M12</f>
        <v>8194.4352618335888</v>
      </c>
    </row>
    <row r="14" spans="1:13" ht="15" thickBot="1">
      <c r="A14" s="2"/>
      <c r="B14" s="431" t="s">
        <v>35</v>
      </c>
      <c r="C14" s="37">
        <f>C11/F7</f>
        <v>0.15257373737373739</v>
      </c>
      <c r="D14" s="37">
        <f>C14*(1+$F$3)/(1+$F$4)</f>
        <v>0.15113436249285306</v>
      </c>
      <c r="E14" s="37">
        <f>D14*(1+$G$3)/(1+$G$4)</f>
        <v>0.15113436249285306</v>
      </c>
      <c r="F14" s="37">
        <f>E14*(1+$H$3)/(1+$H$4)</f>
        <v>0.15113436249285306</v>
      </c>
      <c r="G14" s="37">
        <f>F14*(1+$I$3)/(1+$I$4)</f>
        <v>0.15113436249285306</v>
      </c>
      <c r="H14" s="37">
        <f>G14*(1+$J$3)/(1+$J$4)</f>
        <v>0.15113436249285306</v>
      </c>
      <c r="I14" s="61">
        <f>H14*(1+$C$8)/(1+$F$8)</f>
        <v>0.14825561273108442</v>
      </c>
      <c r="J14" s="61">
        <f>I14*(1+$C$8)/(1+$F$8)</f>
        <v>0.14543169629811137</v>
      </c>
      <c r="K14" s="61">
        <f>J14*(1+$C$8)/(1+$F$8)</f>
        <v>0.14266156874957592</v>
      </c>
      <c r="L14" s="61">
        <f>K14*(1+$C$8)/(1+$F$8)</f>
        <v>0.13994420553529827</v>
      </c>
      <c r="M14" s="61">
        <f>L14*(1+$C$8)/(1+$F$8)</f>
        <v>0.1372786016203402</v>
      </c>
    </row>
    <row r="15" spans="1:13" ht="16" thickBot="1">
      <c r="A15" s="6"/>
      <c r="B15" s="430" t="s">
        <v>208</v>
      </c>
      <c r="C15" s="438">
        <f>C11/C14</f>
        <v>2475</v>
      </c>
      <c r="D15" s="438">
        <f t="shared" ref="D15:M15" si="1">D11/D14</f>
        <v>2623.5000000000005</v>
      </c>
      <c r="E15" s="438">
        <f t="shared" si="1"/>
        <v>2754.6750000000006</v>
      </c>
      <c r="F15" s="438">
        <f t="shared" si="1"/>
        <v>2892.4087500000005</v>
      </c>
      <c r="G15" s="438">
        <f>G11/G14</f>
        <v>3037.0291875000007</v>
      </c>
      <c r="H15" s="438">
        <f t="shared" si="1"/>
        <v>3188.8806468750008</v>
      </c>
      <c r="I15" s="438">
        <f t="shared" si="1"/>
        <v>3348.324679218751</v>
      </c>
      <c r="J15" s="438">
        <f t="shared" si="1"/>
        <v>3515.7409131796894</v>
      </c>
      <c r="K15" s="438">
        <f t="shared" si="1"/>
        <v>3691.5279588386734</v>
      </c>
      <c r="L15" s="438">
        <f t="shared" si="1"/>
        <v>3876.1043567806078</v>
      </c>
      <c r="M15" s="438">
        <f t="shared" si="1"/>
        <v>4069.9095746196385</v>
      </c>
    </row>
    <row r="16" spans="1:13" ht="15" customHeight="1" thickBot="1">
      <c r="A16" s="2"/>
      <c r="H16" s="6"/>
      <c r="I16" s="6"/>
      <c r="J16" s="6"/>
      <c r="K16" s="6"/>
      <c r="L16" s="6"/>
      <c r="M16" s="6"/>
    </row>
    <row r="17" spans="1:13" ht="18" customHeight="1" thickBot="1">
      <c r="A17" s="2"/>
      <c r="B17" s="435" t="s">
        <v>16</v>
      </c>
      <c r="C17" s="436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thickBot="1">
      <c r="A18" s="2"/>
      <c r="B18" s="41" t="s">
        <v>218</v>
      </c>
      <c r="C18" s="42">
        <f>NPV(C6,D13:M13)</f>
        <v>5823.3381492619292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219</v>
      </c>
      <c r="C19" s="32">
        <v>715.1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8" customHeight="1" thickBot="1">
      <c r="A20" s="2"/>
      <c r="B20" s="43" t="s">
        <v>220</v>
      </c>
      <c r="C20" s="32">
        <v>588</v>
      </c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" customHeight="1" thickBot="1">
      <c r="A21" s="2"/>
      <c r="B21" s="46" t="s">
        <v>221</v>
      </c>
      <c r="C21" s="436">
        <f>C18+C19-C20</f>
        <v>5950.4381492619295</v>
      </c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" thickBot="1">
      <c r="A22" s="50"/>
      <c r="B22" s="48" t="s">
        <v>222</v>
      </c>
      <c r="C22" s="49">
        <v>49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51" t="s">
        <v>224</v>
      </c>
      <c r="C23" s="52">
        <f>C21/C22</f>
        <v>121.43751325024346</v>
      </c>
      <c r="D23" s="6"/>
      <c r="E23" s="43" t="s">
        <v>225</v>
      </c>
      <c r="F23" s="43">
        <f>C24</f>
        <v>95</v>
      </c>
      <c r="G23" s="6"/>
      <c r="H23" s="6"/>
      <c r="I23" s="6"/>
      <c r="J23" s="6"/>
      <c r="K23" s="6"/>
      <c r="L23" s="6"/>
      <c r="M23" s="6"/>
    </row>
    <row r="24" spans="1:13" ht="18" thickBot="1">
      <c r="A24" s="2"/>
      <c r="B24" s="43" t="s">
        <v>225</v>
      </c>
      <c r="C24" s="53">
        <v>95</v>
      </c>
      <c r="D24" s="6"/>
      <c r="E24" s="432" t="s">
        <v>228</v>
      </c>
      <c r="F24" s="436">
        <f>C23</f>
        <v>121.43751325024346</v>
      </c>
      <c r="H24" s="6"/>
      <c r="I24" s="6"/>
      <c r="J24" s="6"/>
      <c r="K24" s="6"/>
      <c r="L24" s="6"/>
      <c r="M24" s="6"/>
    </row>
    <row r="25" spans="1:13" ht="20" thickBot="1">
      <c r="A25" s="2"/>
      <c r="B25" s="54" t="s">
        <v>226</v>
      </c>
      <c r="C25" s="55">
        <f>(C23-C24)/C24</f>
        <v>0.27828961316045742</v>
      </c>
      <c r="D25" s="6"/>
      <c r="E25" s="6"/>
      <c r="F25" s="424"/>
      <c r="G25" s="6"/>
      <c r="H25" s="6"/>
      <c r="I25" s="6"/>
      <c r="J25" s="6"/>
      <c r="K25" s="6"/>
      <c r="L25" s="6"/>
      <c r="M25" s="6"/>
    </row>
    <row r="26" spans="1:13" ht="18" thickBot="1">
      <c r="A26" s="2"/>
      <c r="B26" s="56" t="s">
        <v>227</v>
      </c>
      <c r="C26" s="52" t="str">
        <f>IF(C25&gt;0,"BUY","SELL")</f>
        <v>BUY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13" customHeight="1">
      <c r="B29" s="437" t="s">
        <v>229</v>
      </c>
    </row>
    <row r="30" spans="1:13">
      <c r="B30" s="434"/>
    </row>
    <row r="31" spans="1:13">
      <c r="B31" s="434"/>
    </row>
    <row r="32" spans="1:13">
      <c r="B32" s="434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47B9D-558A-2441-A413-4A46F38C0BD3}">
  <dimension ref="A1:M36"/>
  <sheetViews>
    <sheetView zoomScale="150" workbookViewId="0">
      <selection activeCell="L34" sqref="L34"/>
    </sheetView>
  </sheetViews>
  <sheetFormatPr baseColWidth="10" defaultColWidth="9" defaultRowHeight="14"/>
  <cols>
    <col min="2" max="2" width="26" customWidth="1"/>
    <col min="3" max="3" width="21.83203125" style="425" customWidth="1"/>
    <col min="4" max="4" width="12.5" style="425" customWidth="1"/>
    <col min="5" max="5" width="15.6640625" style="425" customWidth="1"/>
    <col min="6" max="6" width="21.5" style="425" bestFit="1" customWidth="1"/>
    <col min="7" max="7" width="21.83203125" style="425" customWidth="1"/>
    <col min="8" max="8" width="12" style="425" bestFit="1" customWidth="1"/>
    <col min="9" max="9" width="15.6640625" style="425" customWidth="1"/>
    <col min="10" max="12" width="12" style="425" bestFit="1" customWidth="1"/>
    <col min="13" max="13" width="15" style="425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thickTop="1" thickBot="1">
      <c r="A2" s="2"/>
      <c r="B2" s="4" t="s">
        <v>0</v>
      </c>
      <c r="C2" s="5" t="s">
        <v>230</v>
      </c>
      <c r="E2" s="10"/>
      <c r="F2" s="428">
        <v>2025</v>
      </c>
      <c r="G2" s="428">
        <v>2026</v>
      </c>
      <c r="H2" s="428">
        <v>2027</v>
      </c>
      <c r="I2" s="428">
        <v>2028</v>
      </c>
      <c r="J2" s="428">
        <v>2029</v>
      </c>
      <c r="K2" s="6"/>
      <c r="L2" s="6"/>
      <c r="M2" s="6"/>
    </row>
    <row r="3" spans="1:13" ht="18" thickBot="1">
      <c r="A3" s="2"/>
      <c r="B3" s="7" t="s">
        <v>209</v>
      </c>
      <c r="C3" s="8">
        <v>0.1</v>
      </c>
      <c r="D3" s="6"/>
      <c r="E3" s="58" t="s">
        <v>29</v>
      </c>
      <c r="F3" s="59">
        <v>0.7</v>
      </c>
      <c r="G3" s="59">
        <v>0.4</v>
      </c>
      <c r="H3" s="59">
        <v>0.25</v>
      </c>
      <c r="I3" s="59">
        <v>0.2</v>
      </c>
      <c r="J3" s="59">
        <v>0.1</v>
      </c>
      <c r="M3" s="6"/>
    </row>
    <row r="4" spans="1:13" ht="18" thickBot="1">
      <c r="A4" s="2"/>
      <c r="B4" s="7" t="s">
        <v>210</v>
      </c>
      <c r="C4" s="13">
        <v>2.5000000000000001E-2</v>
      </c>
      <c r="D4" s="6"/>
      <c r="E4" s="58" t="s">
        <v>30</v>
      </c>
      <c r="F4" s="59">
        <v>0.35</v>
      </c>
      <c r="G4" s="59">
        <v>0.32</v>
      </c>
      <c r="H4" s="59">
        <v>0.3</v>
      </c>
      <c r="I4" s="59">
        <v>0.2</v>
      </c>
      <c r="J4" s="59">
        <v>0.2</v>
      </c>
      <c r="M4" s="6"/>
    </row>
    <row r="5" spans="1:13" ht="17" customHeight="1" thickBot="1">
      <c r="A5" s="2"/>
      <c r="B5" s="17" t="s">
        <v>211</v>
      </c>
      <c r="C5" s="13">
        <v>0.1</v>
      </c>
      <c r="D5" s="6"/>
      <c r="E5" s="18"/>
      <c r="F5" s="15"/>
      <c r="G5" s="19"/>
      <c r="H5" s="6"/>
      <c r="K5" s="6"/>
      <c r="L5" s="6"/>
      <c r="M5" s="6"/>
    </row>
    <row r="6" spans="1:13" ht="21" customHeight="1" thickTop="1" thickBot="1">
      <c r="A6" s="2"/>
      <c r="B6" s="7" t="s">
        <v>212</v>
      </c>
      <c r="C6" s="13">
        <v>0.1</v>
      </c>
      <c r="D6" s="6"/>
      <c r="G6" s="10"/>
      <c r="H6" s="6"/>
      <c r="K6" s="6"/>
      <c r="L6" s="6"/>
      <c r="M6" s="6"/>
    </row>
    <row r="7" spans="1:13" ht="19" thickTop="1" thickBot="1">
      <c r="A7" s="2"/>
      <c r="B7" s="7" t="s">
        <v>213</v>
      </c>
      <c r="C7" s="20">
        <v>0.20930000000000001</v>
      </c>
      <c r="D7" s="6"/>
      <c r="E7" s="57" t="s">
        <v>31</v>
      </c>
      <c r="F7" s="32">
        <v>9520</v>
      </c>
      <c r="G7" s="10"/>
      <c r="H7" s="6"/>
      <c r="K7" s="6"/>
      <c r="L7" s="6"/>
      <c r="M7" s="6"/>
    </row>
    <row r="8" spans="1:13" ht="15" customHeight="1" thickTop="1" thickBot="1">
      <c r="A8" s="2"/>
      <c r="B8" s="24" t="s">
        <v>214</v>
      </c>
      <c r="C8" s="25">
        <v>2.5000000000000001E-2</v>
      </c>
      <c r="D8" s="6"/>
      <c r="E8" s="58" t="s">
        <v>223</v>
      </c>
      <c r="F8" s="59">
        <v>0.05</v>
      </c>
      <c r="G8" s="10"/>
      <c r="H8" s="6"/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27" t="s">
        <v>12</v>
      </c>
      <c r="C10" s="30">
        <v>2025</v>
      </c>
      <c r="D10" s="428">
        <v>2026</v>
      </c>
      <c r="E10" s="428">
        <v>2027</v>
      </c>
      <c r="F10" s="428">
        <v>2028</v>
      </c>
      <c r="G10" s="428">
        <v>2029</v>
      </c>
      <c r="H10" s="428">
        <v>2030</v>
      </c>
      <c r="I10" s="428">
        <v>2031</v>
      </c>
      <c r="J10" s="428">
        <v>2032</v>
      </c>
      <c r="K10" s="428">
        <v>2033</v>
      </c>
      <c r="L10" s="428">
        <v>2034</v>
      </c>
      <c r="M10" s="428">
        <v>2035</v>
      </c>
    </row>
    <row r="11" spans="1:13" ht="18" thickBot="1">
      <c r="A11" s="2"/>
      <c r="B11" s="7" t="s">
        <v>215</v>
      </c>
      <c r="C11" s="32">
        <v>1632</v>
      </c>
      <c r="D11" s="33">
        <f>C11*(1+F3)</f>
        <v>2774.4</v>
      </c>
      <c r="E11" s="33">
        <f>D11*(1+$G$3)</f>
        <v>3884.16</v>
      </c>
      <c r="F11" s="33">
        <f>E11*(1+$H$3)</f>
        <v>4855.2</v>
      </c>
      <c r="G11" s="33">
        <f>F11*(1+$I$3)</f>
        <v>5826.24</v>
      </c>
      <c r="H11" s="33">
        <f>G11*(1+$J$3)</f>
        <v>6408.8640000000005</v>
      </c>
      <c r="I11" s="33">
        <f>H11*(1+$C$8)</f>
        <v>6569.0856000000003</v>
      </c>
      <c r="J11" s="33">
        <f>I11*(1+$C$8)</f>
        <v>6733.3127399999994</v>
      </c>
      <c r="K11" s="33">
        <f>J11*(1+$C$8)</f>
        <v>6901.6455584999985</v>
      </c>
      <c r="L11" s="33">
        <f>K11*(1+$C$8)</f>
        <v>7074.1866974624982</v>
      </c>
      <c r="M11" s="33">
        <f>L11*(1+$C$8)</f>
        <v>7251.0413648990598</v>
      </c>
    </row>
    <row r="12" spans="1:13" ht="18" thickBot="1">
      <c r="A12" s="2"/>
      <c r="B12" s="17" t="s">
        <v>216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99097.565320287118</v>
      </c>
    </row>
    <row r="13" spans="1:13" ht="20" thickBot="1">
      <c r="A13" s="2"/>
      <c r="B13" s="35" t="s">
        <v>217</v>
      </c>
      <c r="C13" s="34"/>
      <c r="D13" s="33">
        <f t="shared" ref="D13:L13" si="0">D11</f>
        <v>2774.4</v>
      </c>
      <c r="E13" s="33">
        <f t="shared" si="0"/>
        <v>3884.16</v>
      </c>
      <c r="F13" s="33">
        <f t="shared" si="0"/>
        <v>4855.2</v>
      </c>
      <c r="G13" s="33">
        <f t="shared" si="0"/>
        <v>5826.24</v>
      </c>
      <c r="H13" s="33">
        <f t="shared" si="0"/>
        <v>6408.8640000000005</v>
      </c>
      <c r="I13" s="33">
        <f t="shared" si="0"/>
        <v>6569.0856000000003</v>
      </c>
      <c r="J13" s="33">
        <f t="shared" si="0"/>
        <v>6733.3127399999994</v>
      </c>
      <c r="K13" s="33">
        <f t="shared" si="0"/>
        <v>6901.6455584999985</v>
      </c>
      <c r="L13" s="33">
        <f t="shared" si="0"/>
        <v>7074.1866974624982</v>
      </c>
      <c r="M13" s="60">
        <f>M11+M12</f>
        <v>106348.60668518618</v>
      </c>
    </row>
    <row r="14" spans="1:13" ht="15" thickBot="1">
      <c r="A14" s="2"/>
      <c r="B14" s="431" t="s">
        <v>35</v>
      </c>
      <c r="C14" s="37">
        <f>C11/F7</f>
        <v>0.17142857142857143</v>
      </c>
      <c r="D14" s="37">
        <f>C14*(1+$F$3)/(1+$F$4)</f>
        <v>0.21587301587301586</v>
      </c>
      <c r="E14" s="37">
        <f>D14*(1+$G$3)/(1+$G$4)</f>
        <v>0.22895622895622891</v>
      </c>
      <c r="F14" s="37">
        <f>E14*(1+$H$3)/(1+$H$4)</f>
        <v>0.22015022015022007</v>
      </c>
      <c r="G14" s="37">
        <f>F14*(1+$I$3)/(1+$I$4)</f>
        <v>0.22015022015022007</v>
      </c>
      <c r="H14" s="37">
        <f>G14*(1+$J$3)/(1+$J$4)</f>
        <v>0.20180436847103508</v>
      </c>
      <c r="I14" s="61">
        <f>H14*(1+$C$8)/(1+$F$8)</f>
        <v>0.19699950255505805</v>
      </c>
      <c r="J14" s="61">
        <f>I14*(1+$C$8)/(1+$F$8)</f>
        <v>0.19230903820850903</v>
      </c>
      <c r="K14" s="61">
        <f>J14*(1+$C$8)/(1+$F$8)</f>
        <v>0.18773025158449688</v>
      </c>
      <c r="L14" s="61">
        <f>K14*(1+$C$8)/(1+$F$8)</f>
        <v>0.18326048368962788</v>
      </c>
      <c r="M14" s="61">
        <f>L14*(1+$C$8)/(1+$F$8)</f>
        <v>0.17889713883987479</v>
      </c>
    </row>
    <row r="15" spans="1:13" ht="16" thickBot="1">
      <c r="A15" s="6"/>
      <c r="B15" s="430" t="s">
        <v>208</v>
      </c>
      <c r="C15" s="438">
        <f>C11/C14</f>
        <v>9520</v>
      </c>
      <c r="D15" s="438">
        <f t="shared" ref="D15:M15" si="1">D11/D14</f>
        <v>12852.000000000002</v>
      </c>
      <c r="E15" s="438">
        <f t="shared" si="1"/>
        <v>16964.640000000003</v>
      </c>
      <c r="F15" s="438">
        <f t="shared" si="1"/>
        <v>22054.032000000007</v>
      </c>
      <c r="G15" s="438">
        <f t="shared" si="1"/>
        <v>26464.838400000008</v>
      </c>
      <c r="H15" s="438">
        <f t="shared" si="1"/>
        <v>31757.806080000009</v>
      </c>
      <c r="I15" s="438">
        <f t="shared" si="1"/>
        <v>33345.69638400001</v>
      </c>
      <c r="J15" s="438">
        <f t="shared" si="1"/>
        <v>35012.981203200012</v>
      </c>
      <c r="K15" s="438">
        <f t="shared" si="1"/>
        <v>36763.630263360013</v>
      </c>
      <c r="L15" s="438">
        <f t="shared" si="1"/>
        <v>38601.811776528019</v>
      </c>
      <c r="M15" s="438">
        <f t="shared" si="1"/>
        <v>40531.902365354421</v>
      </c>
    </row>
    <row r="16" spans="1:13" ht="15" customHeight="1" thickBot="1">
      <c r="A16" s="2"/>
      <c r="H16" s="6"/>
      <c r="I16" s="6"/>
      <c r="J16" s="6"/>
      <c r="K16" s="6"/>
      <c r="L16" s="6"/>
      <c r="M16" s="6"/>
    </row>
    <row r="17" spans="1:13" ht="18" customHeight="1" thickBot="1">
      <c r="A17" s="2"/>
      <c r="B17" s="427" t="s">
        <v>16</v>
      </c>
      <c r="C17" s="428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thickBot="1">
      <c r="A18" s="2"/>
      <c r="B18" s="41" t="s">
        <v>218</v>
      </c>
      <c r="C18" s="42">
        <f>NPV(C6,D13:M13)</f>
        <v>71723.953281879571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219</v>
      </c>
      <c r="C19" s="32">
        <v>2468</v>
      </c>
      <c r="D19" s="6"/>
      <c r="E19" s="6"/>
      <c r="F19" s="6"/>
      <c r="G19" s="6"/>
      <c r="H19" s="440" t="s">
        <v>231</v>
      </c>
      <c r="I19" s="440" t="s">
        <v>232</v>
      </c>
      <c r="J19" s="440" t="s">
        <v>233</v>
      </c>
      <c r="K19" s="440" t="s">
        <v>234</v>
      </c>
      <c r="L19" s="440" t="s">
        <v>235</v>
      </c>
      <c r="M19" s="6"/>
    </row>
    <row r="20" spans="1:13" ht="18" customHeight="1" thickBot="1">
      <c r="A20" s="2"/>
      <c r="B20" s="43" t="s">
        <v>220</v>
      </c>
      <c r="C20" s="32">
        <v>4852</v>
      </c>
      <c r="D20" s="6"/>
      <c r="E20" s="6"/>
      <c r="F20" s="6"/>
      <c r="G20" s="6"/>
      <c r="H20" s="440" t="s">
        <v>236</v>
      </c>
      <c r="I20"/>
      <c r="J20"/>
      <c r="K20"/>
      <c r="L20"/>
      <c r="M20" s="6"/>
    </row>
    <row r="21" spans="1:13" ht="18" customHeight="1" thickBot="1">
      <c r="A21" s="2"/>
      <c r="B21" s="46" t="s">
        <v>221</v>
      </c>
      <c r="C21" s="428">
        <f>C18+C19-C20</f>
        <v>69339.953281879571</v>
      </c>
      <c r="D21" s="6"/>
      <c r="E21" s="6"/>
      <c r="F21" s="6"/>
      <c r="G21" s="6"/>
      <c r="H21" s="439" t="s">
        <v>237</v>
      </c>
      <c r="I21" s="441">
        <v>1909</v>
      </c>
      <c r="J21" s="441">
        <v>2096</v>
      </c>
      <c r="K21" s="441">
        <v>2007</v>
      </c>
      <c r="L21" s="441">
        <v>2329</v>
      </c>
      <c r="M21" s="6"/>
    </row>
    <row r="22" spans="1:13" ht="18" thickBot="1">
      <c r="A22" s="50"/>
      <c r="B22" s="48" t="s">
        <v>222</v>
      </c>
      <c r="C22" s="49">
        <v>359</v>
      </c>
      <c r="D22" s="6"/>
      <c r="E22" s="6"/>
      <c r="F22" s="6"/>
      <c r="G22" s="6"/>
      <c r="H22" s="439" t="s">
        <v>238</v>
      </c>
      <c r="I22" s="439">
        <v>139</v>
      </c>
      <c r="J22" s="439">
        <v>140</v>
      </c>
      <c r="K22" s="439">
        <v>137</v>
      </c>
      <c r="L22" s="439">
        <v>140</v>
      </c>
      <c r="M22" s="6"/>
    </row>
    <row r="23" spans="1:13" ht="18" thickBot="1">
      <c r="A23" s="2"/>
      <c r="B23" s="51" t="s">
        <v>224</v>
      </c>
      <c r="C23" s="52">
        <f>C21/C22</f>
        <v>193.14750217793753</v>
      </c>
      <c r="D23" s="6"/>
      <c r="E23" s="43" t="s">
        <v>225</v>
      </c>
      <c r="F23" s="43">
        <f>C24</f>
        <v>130.59</v>
      </c>
      <c r="G23" s="6"/>
      <c r="H23" s="439" t="s">
        <v>239</v>
      </c>
      <c r="I23" s="439">
        <v>164</v>
      </c>
      <c r="J23" s="439">
        <v>173</v>
      </c>
      <c r="K23" s="439">
        <v>150</v>
      </c>
      <c r="L23" s="439">
        <v>136</v>
      </c>
      <c r="M23" s="6"/>
    </row>
    <row r="24" spans="1:13" ht="18" thickBot="1">
      <c r="A24" s="2"/>
      <c r="B24" s="43" t="s">
        <v>225</v>
      </c>
      <c r="C24" s="53">
        <v>130.59</v>
      </c>
      <c r="D24" s="6"/>
      <c r="E24" s="432" t="s">
        <v>228</v>
      </c>
      <c r="F24" s="428">
        <f>C23</f>
        <v>193.14750217793753</v>
      </c>
      <c r="H24" s="440" t="s">
        <v>240</v>
      </c>
      <c r="I24" s="441">
        <v>2212</v>
      </c>
      <c r="J24" s="441">
        <v>2409</v>
      </c>
      <c r="K24" s="441">
        <v>2294</v>
      </c>
      <c r="L24" s="441">
        <v>2605</v>
      </c>
      <c r="M24" s="6"/>
    </row>
    <row r="25" spans="1:13" ht="20" thickBot="1">
      <c r="A25" s="2"/>
      <c r="B25" s="54" t="s">
        <v>226</v>
      </c>
      <c r="C25" s="55">
        <f>(C23-C24)/C24</f>
        <v>0.47903746211760106</v>
      </c>
      <c r="D25" s="6"/>
      <c r="E25" s="6"/>
      <c r="F25" s="424"/>
      <c r="G25" s="6"/>
      <c r="H25" s="440" t="s">
        <v>241</v>
      </c>
      <c r="I25"/>
      <c r="J25"/>
      <c r="K25"/>
      <c r="L25"/>
      <c r="M25" s="6"/>
    </row>
    <row r="26" spans="1:13" ht="18" thickBot="1">
      <c r="A26" s="2"/>
      <c r="B26" s="56" t="s">
        <v>227</v>
      </c>
      <c r="C26" s="52" t="str">
        <f>IF(C25&gt;0,"BUY","SELL")</f>
        <v>BUY</v>
      </c>
      <c r="D26" s="6"/>
      <c r="E26" s="6"/>
      <c r="F26" s="6"/>
      <c r="G26" s="6"/>
      <c r="H26" s="439" t="s">
        <v>237</v>
      </c>
      <c r="I26" s="439">
        <v>9</v>
      </c>
      <c r="J26" s="439">
        <v>9.3000000000000007</v>
      </c>
      <c r="K26" s="439">
        <v>8.3000000000000007</v>
      </c>
      <c r="L26" s="439">
        <v>9.3000000000000007</v>
      </c>
      <c r="M26" s="6"/>
    </row>
    <row r="27" spans="1:13">
      <c r="H27" s="439" t="s">
        <v>238</v>
      </c>
      <c r="I27" s="439">
        <v>2.2999999999999998</v>
      </c>
      <c r="J27" s="439">
        <v>2.1</v>
      </c>
      <c r="K27" s="439">
        <v>1.9</v>
      </c>
      <c r="L27" s="439">
        <v>2.1</v>
      </c>
    </row>
    <row r="28" spans="1:13">
      <c r="H28" s="439" t="s">
        <v>239</v>
      </c>
      <c r="I28" s="439">
        <v>1.9</v>
      </c>
      <c r="J28" s="439">
        <v>2.1</v>
      </c>
      <c r="K28" s="439">
        <v>1.9</v>
      </c>
      <c r="L28" s="439">
        <v>1.5</v>
      </c>
    </row>
    <row r="29" spans="1:13" ht="19" customHeight="1">
      <c r="B29" s="429"/>
      <c r="H29" s="440" t="s">
        <v>242</v>
      </c>
      <c r="I29" s="439">
        <v>13.2</v>
      </c>
      <c r="J29" s="439">
        <v>13.5</v>
      </c>
      <c r="K29" s="439">
        <v>12.1</v>
      </c>
      <c r="L29" s="439">
        <v>12.9</v>
      </c>
    </row>
    <row r="30" spans="1:13">
      <c r="B30" s="426"/>
      <c r="H30" s="440" t="s">
        <v>243</v>
      </c>
      <c r="I30"/>
      <c r="J30"/>
      <c r="K30"/>
      <c r="L30"/>
    </row>
    <row r="31" spans="1:13">
      <c r="B31" s="426"/>
      <c r="H31" s="439" t="s">
        <v>244</v>
      </c>
      <c r="I31" s="439">
        <v>141</v>
      </c>
      <c r="J31" s="439">
        <v>154</v>
      </c>
      <c r="K31" s="439">
        <v>145</v>
      </c>
      <c r="L31" s="439">
        <v>170</v>
      </c>
    </row>
    <row r="32" spans="1:13">
      <c r="B32" s="426"/>
      <c r="H32" s="439" t="s">
        <v>245</v>
      </c>
      <c r="I32" s="439">
        <v>24</v>
      </c>
      <c r="J32" s="439">
        <v>22</v>
      </c>
      <c r="K32" s="439">
        <v>21</v>
      </c>
      <c r="L32" s="439">
        <v>20</v>
      </c>
    </row>
    <row r="33" spans="8:12">
      <c r="H33" s="439" t="s">
        <v>246</v>
      </c>
      <c r="I33" s="439">
        <v>165</v>
      </c>
      <c r="J33" s="439">
        <v>176</v>
      </c>
      <c r="K33" s="439">
        <v>166</v>
      </c>
      <c r="L33" s="439">
        <v>190</v>
      </c>
    </row>
    <row r="36" spans="8:12">
      <c r="H36" s="269" t="s">
        <v>139</v>
      </c>
    </row>
  </sheetData>
  <phoneticPr fontId="5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3002-F32C-A649-AAA7-DED5DC5141C3}">
  <dimension ref="A1:M36"/>
  <sheetViews>
    <sheetView topLeftCell="A7" zoomScale="150" workbookViewId="0">
      <selection activeCell="I45" sqref="A1:XFD1048576"/>
    </sheetView>
  </sheetViews>
  <sheetFormatPr baseColWidth="10" defaultColWidth="9" defaultRowHeight="14"/>
  <cols>
    <col min="2" max="2" width="20.1640625" customWidth="1"/>
    <col min="3" max="3" width="21.83203125" style="367" customWidth="1"/>
    <col min="4" max="4" width="12.5" style="367" customWidth="1"/>
    <col min="5" max="5" width="9.6640625" style="367" bestFit="1" customWidth="1"/>
    <col min="6" max="6" width="21.33203125" style="367" bestFit="1" customWidth="1"/>
    <col min="7" max="7" width="21.83203125" style="367" customWidth="1"/>
    <col min="8" max="8" width="10.6640625" style="367" bestFit="1" customWidth="1"/>
    <col min="9" max="9" width="15.6640625" style="367" customWidth="1"/>
    <col min="10" max="12" width="10.6640625" style="367" bestFit="1" customWidth="1"/>
    <col min="13" max="13" width="14.83203125" style="367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158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0.42</v>
      </c>
      <c r="I3" s="12">
        <v>0.32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0.36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2">
        <v>7235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69" t="s">
        <v>6</v>
      </c>
      <c r="F6" s="369"/>
      <c r="G6" s="369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0.4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0.1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70" t="s">
        <v>12</v>
      </c>
      <c r="C10" s="30">
        <v>2024</v>
      </c>
      <c r="D10" s="371">
        <v>2025</v>
      </c>
      <c r="E10" s="371">
        <v>2026</v>
      </c>
      <c r="F10" s="371">
        <v>2027</v>
      </c>
      <c r="G10" s="371">
        <v>2028</v>
      </c>
      <c r="H10" s="371">
        <v>2029</v>
      </c>
      <c r="I10" s="371">
        <v>2030</v>
      </c>
      <c r="J10" s="371">
        <v>2031</v>
      </c>
      <c r="K10" s="371">
        <v>2032</v>
      </c>
      <c r="L10" s="371">
        <v>2033</v>
      </c>
      <c r="M10" s="371">
        <v>2034</v>
      </c>
    </row>
    <row r="11" spans="1:13" ht="18" thickBot="1">
      <c r="A11" s="2"/>
      <c r="B11" s="7" t="s">
        <v>13</v>
      </c>
      <c r="C11" s="32">
        <v>1534</v>
      </c>
      <c r="D11" s="33">
        <f>C11*(1+H3)</f>
        <v>2178.2799999999997</v>
      </c>
      <c r="E11" s="33">
        <f>D11*(1+$I$3)</f>
        <v>2875.3295999999996</v>
      </c>
      <c r="F11" s="33">
        <f>E11*(1+$J$3)</f>
        <v>3450.3955199999996</v>
      </c>
      <c r="G11" s="33">
        <f>F11*(1+$K$3)</f>
        <v>4140.4746239999995</v>
      </c>
      <c r="H11" s="33">
        <f>G11*(1+$L$3)</f>
        <v>4968.5695487999992</v>
      </c>
      <c r="I11" s="33">
        <f>H11*(1+$C$8)</f>
        <v>5465.4265036799998</v>
      </c>
      <c r="J11" s="33">
        <f>I11*(1+$C$8)</f>
        <v>6011.9691540479998</v>
      </c>
      <c r="K11" s="33">
        <f>J11*(1+$C$8)</f>
        <v>6613.1660694528</v>
      </c>
      <c r="L11" s="33">
        <f>K11*(1+$C$8)</f>
        <v>7274.4826763980809</v>
      </c>
      <c r="M11" s="33">
        <f>L11*(1+$C$8)</f>
        <v>8001.9309440378893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109359.72290185114</v>
      </c>
    </row>
    <row r="13" spans="1:13" ht="20" thickBot="1">
      <c r="A13" s="2"/>
      <c r="B13" s="35" t="s">
        <v>15</v>
      </c>
      <c r="C13" s="34"/>
      <c r="D13" s="33">
        <f t="shared" ref="D13:L13" si="0">D11</f>
        <v>2178.2799999999997</v>
      </c>
      <c r="E13" s="33">
        <f t="shared" si="0"/>
        <v>2875.3295999999996</v>
      </c>
      <c r="F13" s="33">
        <f t="shared" si="0"/>
        <v>3450.3955199999996</v>
      </c>
      <c r="G13" s="33">
        <f t="shared" si="0"/>
        <v>4140.4746239999995</v>
      </c>
      <c r="H13" s="33">
        <f t="shared" si="0"/>
        <v>4968.5695487999992</v>
      </c>
      <c r="I13" s="33">
        <f t="shared" si="0"/>
        <v>5465.4265036799998</v>
      </c>
      <c r="J13" s="33">
        <f t="shared" si="0"/>
        <v>6011.9691540479998</v>
      </c>
      <c r="K13" s="33">
        <f t="shared" si="0"/>
        <v>6613.1660694528</v>
      </c>
      <c r="L13" s="33">
        <f t="shared" si="0"/>
        <v>7274.4826763980809</v>
      </c>
      <c r="M13" s="60">
        <f>M11+M12</f>
        <v>117361.65384588903</v>
      </c>
    </row>
    <row r="14" spans="1:13" ht="15" thickBot="1">
      <c r="A14" s="2"/>
      <c r="B14" s="36" t="s">
        <v>35</v>
      </c>
      <c r="C14" s="37">
        <f>C11/J5</f>
        <v>0.2120248790601244</v>
      </c>
      <c r="D14" s="37">
        <f>C14*(1+$H$3)/(1+$H$4)</f>
        <v>0.22137891784218872</v>
      </c>
      <c r="E14" s="37">
        <f>D14*(1+$I$3)/(1+$I$4)</f>
        <v>0.24351680962640759</v>
      </c>
      <c r="F14" s="37">
        <f>E14*(1+$J$3)/(1+$J$4)</f>
        <v>0.24351680962640759</v>
      </c>
      <c r="G14" s="37">
        <f>F14*(1+$K$3)/(1+$K$4)</f>
        <v>0.24351680962640759</v>
      </c>
      <c r="H14" s="37">
        <f>G14*(1+$L$3)/(1+$L$4)</f>
        <v>0.24351680962640759</v>
      </c>
      <c r="I14" s="61">
        <f>H14*(1+$C$8)/(1+$J$8)</f>
        <v>0.24351680962640759</v>
      </c>
      <c r="J14" s="61">
        <f>I14*(1+$C$8)/(1+$J$8)</f>
        <v>0.24351680962640759</v>
      </c>
      <c r="K14" s="61">
        <f>J14*(1+$C$8)/(1+$J$8)</f>
        <v>0.24351680962640759</v>
      </c>
      <c r="L14" s="61">
        <f>K14*(1+$C$8)/(1+$J$8)</f>
        <v>0.24351680962640759</v>
      </c>
      <c r="M14" s="61">
        <f>L14*(1+$C$8)/(1+$J$8)</f>
        <v>0.24351680962640759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70" t="s">
        <v>16</v>
      </c>
      <c r="C16" s="371"/>
      <c r="D16" s="40"/>
      <c r="E16" s="372" t="s">
        <v>80</v>
      </c>
      <c r="F16" s="373">
        <f>C22</f>
        <v>77.696352681301519</v>
      </c>
      <c r="G16" s="373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70450.34506932582</v>
      </c>
      <c r="D17" s="40"/>
      <c r="E17" s="373"/>
      <c r="F17" s="373"/>
      <c r="G17" s="373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1224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4467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71">
        <f>C17+C18-C19</f>
        <v>67207.34506932582</v>
      </c>
      <c r="D20" s="47"/>
      <c r="E20" s="374" t="s">
        <v>22</v>
      </c>
      <c r="F20" s="365">
        <f>C23</f>
        <v>62.87</v>
      </c>
      <c r="G20" s="375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865</v>
      </c>
      <c r="D21" s="47"/>
      <c r="E21" s="374"/>
      <c r="F21" s="375"/>
      <c r="G21" s="375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77.696352681301519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62.87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0.23582555561160368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B29" s="366" t="s">
        <v>36</v>
      </c>
    </row>
    <row r="30" spans="1:13">
      <c r="B30" s="368"/>
    </row>
    <row r="31" spans="1:13">
      <c r="B31" s="368"/>
    </row>
    <row r="32" spans="1:13">
      <c r="B32" s="368"/>
    </row>
    <row r="36" spans="8:8">
      <c r="H36" s="269" t="s">
        <v>139</v>
      </c>
    </row>
  </sheetData>
  <phoneticPr fontId="47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EFD6-5FD8-AC45-801E-9894E431E6AB}">
  <dimension ref="A1:M63"/>
  <sheetViews>
    <sheetView workbookViewId="0">
      <selection activeCell="D30" sqref="D30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376" customWidth="1"/>
    <col min="4" max="4" width="12.5" style="376" customWidth="1"/>
    <col min="5" max="5" width="16" style="376" customWidth="1"/>
    <col min="6" max="6" width="21.33203125" style="376" bestFit="1" customWidth="1"/>
    <col min="7" max="7" width="18.6640625" style="376" customWidth="1"/>
    <col min="8" max="8" width="10.6640625" style="376" bestFit="1" customWidth="1"/>
    <col min="9" max="9" width="15.6640625" style="376" customWidth="1"/>
    <col min="10" max="12" width="10.6640625" style="376" bestFit="1" customWidth="1"/>
    <col min="13" max="13" width="14.83203125" style="376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160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0.42</v>
      </c>
      <c r="I3" s="12">
        <v>0.32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 t="s">
        <v>161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377" t="s">
        <v>162</v>
      </c>
      <c r="F6" s="377"/>
      <c r="G6" s="377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378" t="s">
        <v>12</v>
      </c>
      <c r="C10" s="30">
        <v>2024</v>
      </c>
      <c r="D10" s="379">
        <v>2025</v>
      </c>
      <c r="E10" s="379">
        <v>2026</v>
      </c>
      <c r="F10" s="379">
        <v>2027</v>
      </c>
      <c r="G10" s="379">
        <v>2028</v>
      </c>
      <c r="H10" s="379">
        <v>2029</v>
      </c>
      <c r="I10" s="379">
        <v>2030</v>
      </c>
      <c r="J10" s="379">
        <v>2031</v>
      </c>
      <c r="K10" s="379">
        <v>2032</v>
      </c>
      <c r="L10" s="379">
        <v>2033</v>
      </c>
      <c r="M10" s="379">
        <v>2034</v>
      </c>
    </row>
    <row r="11" spans="1:13" ht="18" thickBot="1">
      <c r="A11" s="2"/>
      <c r="B11" s="7" t="s">
        <v>13</v>
      </c>
      <c r="C11" s="32">
        <v>136.69</v>
      </c>
      <c r="D11" s="33">
        <f>C11*(1+H3)</f>
        <v>194.09979999999999</v>
      </c>
      <c r="E11" s="33">
        <f>D11*(1+$I$3)</f>
        <v>256.21173599999997</v>
      </c>
      <c r="F11" s="33">
        <f>E11*(1+$J$3)</f>
        <v>307.45408319999996</v>
      </c>
      <c r="G11" s="33">
        <f>F11*(1+$K$3)</f>
        <v>368.94489983999995</v>
      </c>
      <c r="H11" s="33">
        <f>G11*(1+$L$3)</f>
        <v>442.73387980799993</v>
      </c>
      <c r="I11" s="33">
        <f>H11*(1+$C$8)</f>
        <v>487.00726778879994</v>
      </c>
      <c r="J11" s="33">
        <f>I11*(1+$C$8)</f>
        <v>535.70799456767998</v>
      </c>
      <c r="K11" s="33">
        <f>J11*(1+$C$8)</f>
        <v>589.27879402444808</v>
      </c>
      <c r="L11" s="33">
        <f>K11*(1+$C$8)</f>
        <v>648.20667342689296</v>
      </c>
      <c r="M11" s="33">
        <f>L11*(1+$C$8)</f>
        <v>713.02734076958234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9744.7069905176231</v>
      </c>
    </row>
    <row r="13" spans="1:13" ht="20" thickBot="1">
      <c r="A13" s="2"/>
      <c r="B13" s="35" t="s">
        <v>15</v>
      </c>
      <c r="C13" s="34"/>
      <c r="D13" s="33">
        <f t="shared" ref="D13:L13" si="0">D11</f>
        <v>194.09979999999999</v>
      </c>
      <c r="E13" s="33">
        <f t="shared" si="0"/>
        <v>256.21173599999997</v>
      </c>
      <c r="F13" s="33">
        <f t="shared" si="0"/>
        <v>307.45408319999996</v>
      </c>
      <c r="G13" s="33">
        <f t="shared" si="0"/>
        <v>368.94489983999995</v>
      </c>
      <c r="H13" s="33">
        <f t="shared" si="0"/>
        <v>442.73387980799993</v>
      </c>
      <c r="I13" s="33">
        <f t="shared" si="0"/>
        <v>487.00726778879994</v>
      </c>
      <c r="J13" s="33">
        <f t="shared" si="0"/>
        <v>535.70799456767998</v>
      </c>
      <c r="K13" s="33">
        <f t="shared" si="0"/>
        <v>589.27879402444808</v>
      </c>
      <c r="L13" s="33">
        <f t="shared" si="0"/>
        <v>648.20667342689296</v>
      </c>
      <c r="M13" s="60">
        <f>M11+M12</f>
        <v>10457.734331287205</v>
      </c>
    </row>
    <row r="14" spans="1:13" ht="15" thickBot="1">
      <c r="A14" s="2"/>
      <c r="B14" s="36" t="s">
        <v>35</v>
      </c>
      <c r="C14" s="37" t="e">
        <f>C11/J5</f>
        <v>#VALUE!</v>
      </c>
      <c r="D14" s="37" t="e">
        <f>C14*(1+$H$3)/(1+$H$4)</f>
        <v>#VALUE!</v>
      </c>
      <c r="E14" s="37" t="e">
        <f>D14*(1+$I$3)/(1+$I$4)</f>
        <v>#VALUE!</v>
      </c>
      <c r="F14" s="37" t="e">
        <f>E14*(1+$J$3)/(1+$J$4)</f>
        <v>#VALUE!</v>
      </c>
      <c r="G14" s="37" t="e">
        <f>F14*(1+$K$3)/(1+$K$4)</f>
        <v>#VALUE!</v>
      </c>
      <c r="H14" s="37" t="e">
        <f>G14*(1+$L$3)/(1+$L$4)</f>
        <v>#VALUE!</v>
      </c>
      <c r="I14" s="61" t="e">
        <f>H14*(1+$C$8)/(1+$J$8)</f>
        <v>#VALUE!</v>
      </c>
      <c r="J14" s="61" t="e">
        <f>I14*(1+$C$8)/(1+$J$8)</f>
        <v>#VALUE!</v>
      </c>
      <c r="K14" s="61" t="e">
        <f>J14*(1+$C$8)/(1+$J$8)</f>
        <v>#VALUE!</v>
      </c>
      <c r="L14" s="61" t="e">
        <f>K14*(1+$C$8)/(1+$J$8)</f>
        <v>#VALUE!</v>
      </c>
      <c r="M14" s="61" t="e">
        <f>L14*(1+$C$8)/(1+$J$8)</f>
        <v>#VALUE!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378" t="s">
        <v>16</v>
      </c>
      <c r="C16" s="379"/>
      <c r="D16" s="40"/>
      <c r="E16" s="380" t="s">
        <v>80</v>
      </c>
      <c r="F16" s="381">
        <f>C22</f>
        <v>31.23413864231512</v>
      </c>
      <c r="G16" s="381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6277.6125603169139</v>
      </c>
      <c r="D17" s="40"/>
      <c r="E17" s="381"/>
      <c r="F17" s="381"/>
      <c r="G17" s="381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365.31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208.69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379">
        <f>C17+C18-C19</f>
        <v>6434.2325603169147</v>
      </c>
      <c r="D20" s="47"/>
      <c r="E20" s="382" t="s">
        <v>22</v>
      </c>
      <c r="F20" s="365">
        <f>C23</f>
        <v>195.19</v>
      </c>
      <c r="G20" s="383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206</v>
      </c>
      <c r="D21" s="47"/>
      <c r="E21" s="382"/>
      <c r="F21" s="383"/>
      <c r="G21" s="383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31.23413864231512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195.19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-0.83998084613804436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537E5-9028-934D-AE85-974BDDA88B77}">
  <dimension ref="A1:M36"/>
  <sheetViews>
    <sheetView tabSelected="1" zoomScale="109" workbookViewId="0">
      <selection activeCell="E16" sqref="E16"/>
    </sheetView>
  </sheetViews>
  <sheetFormatPr baseColWidth="10" defaultColWidth="9" defaultRowHeight="14"/>
  <cols>
    <col min="2" max="2" width="26" customWidth="1"/>
    <col min="3" max="3" width="21.83203125" style="442" customWidth="1"/>
    <col min="4" max="4" width="12.5" style="442" customWidth="1"/>
    <col min="5" max="5" width="15.6640625" style="442" customWidth="1"/>
    <col min="6" max="6" width="21.5" style="442" bestFit="1" customWidth="1"/>
    <col min="7" max="7" width="21.83203125" style="442" customWidth="1"/>
    <col min="8" max="8" width="12" style="442" bestFit="1" customWidth="1"/>
    <col min="9" max="9" width="15.6640625" style="442" customWidth="1"/>
    <col min="10" max="12" width="12" style="442" bestFit="1" customWidth="1"/>
    <col min="13" max="13" width="15" style="442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thickTop="1" thickBot="1">
      <c r="A2" s="2"/>
      <c r="B2" s="4" t="s">
        <v>0</v>
      </c>
      <c r="C2" s="5" t="s">
        <v>159</v>
      </c>
      <c r="E2" s="10"/>
      <c r="F2" s="445">
        <v>2025</v>
      </c>
      <c r="G2" s="445">
        <v>2026</v>
      </c>
      <c r="H2" s="445">
        <v>2027</v>
      </c>
      <c r="I2" s="445">
        <v>2028</v>
      </c>
      <c r="J2" s="445">
        <v>2029</v>
      </c>
      <c r="K2" s="6"/>
      <c r="L2" s="6"/>
      <c r="M2" s="6"/>
    </row>
    <row r="3" spans="1:13" ht="18" thickBot="1">
      <c r="A3" s="2"/>
      <c r="B3" s="7" t="s">
        <v>209</v>
      </c>
      <c r="C3" s="8">
        <v>0.1</v>
      </c>
      <c r="D3" s="6"/>
      <c r="E3" s="58" t="s">
        <v>29</v>
      </c>
      <c r="F3" s="59">
        <v>0.6</v>
      </c>
      <c r="G3" s="59">
        <v>0.45</v>
      </c>
      <c r="H3" s="59">
        <v>0.4</v>
      </c>
      <c r="I3" s="59">
        <v>0.25</v>
      </c>
      <c r="J3" s="59">
        <v>0.2</v>
      </c>
      <c r="M3" s="6"/>
    </row>
    <row r="4" spans="1:13" ht="18" thickBot="1">
      <c r="A4" s="2"/>
      <c r="B4" s="7" t="s">
        <v>210</v>
      </c>
      <c r="C4" s="13">
        <v>2.5000000000000001E-2</v>
      </c>
      <c r="D4" s="6"/>
      <c r="E4" s="58" t="s">
        <v>30</v>
      </c>
      <c r="F4" s="59">
        <v>0.2</v>
      </c>
      <c r="G4" s="59">
        <v>0.18</v>
      </c>
      <c r="H4" s="59">
        <v>0.16</v>
      </c>
      <c r="I4" s="59">
        <v>0.14000000000000001</v>
      </c>
      <c r="J4" s="59">
        <v>0.08</v>
      </c>
      <c r="M4" s="6"/>
    </row>
    <row r="5" spans="1:13" ht="17" customHeight="1" thickBot="1">
      <c r="A5" s="2"/>
      <c r="B5" s="17" t="s">
        <v>211</v>
      </c>
      <c r="C5" s="13">
        <v>0.1</v>
      </c>
      <c r="D5" s="6"/>
      <c r="E5" s="18"/>
      <c r="F5" s="15"/>
      <c r="G5" s="19"/>
      <c r="H5" s="6"/>
      <c r="K5" s="6"/>
      <c r="L5" s="6"/>
      <c r="M5" s="6"/>
    </row>
    <row r="6" spans="1:13" ht="21" customHeight="1" thickTop="1" thickBot="1">
      <c r="A6" s="2"/>
      <c r="B6" s="7" t="s">
        <v>212</v>
      </c>
      <c r="C6" s="13">
        <v>0.1</v>
      </c>
      <c r="D6" s="6"/>
      <c r="G6" s="10"/>
      <c r="H6" s="6"/>
      <c r="K6" s="6"/>
      <c r="L6" s="6"/>
      <c r="M6" s="6"/>
    </row>
    <row r="7" spans="1:13" ht="19" thickTop="1" thickBot="1">
      <c r="A7" s="2"/>
      <c r="B7" s="7" t="s">
        <v>213</v>
      </c>
      <c r="C7" s="20">
        <v>0.20930000000000001</v>
      </c>
      <c r="D7" s="6"/>
      <c r="E7" s="57" t="s">
        <v>31</v>
      </c>
      <c r="F7" s="32">
        <v>1225</v>
      </c>
      <c r="G7" s="10"/>
      <c r="H7" s="6"/>
      <c r="K7" s="6"/>
      <c r="L7" s="6"/>
      <c r="M7" s="6"/>
    </row>
    <row r="8" spans="1:13" ht="15" customHeight="1" thickTop="1" thickBot="1">
      <c r="A8" s="2"/>
      <c r="B8" s="24" t="s">
        <v>214</v>
      </c>
      <c r="C8" s="25">
        <v>0.05</v>
      </c>
      <c r="D8" s="6"/>
      <c r="E8" s="58" t="s">
        <v>223</v>
      </c>
      <c r="F8" s="59">
        <v>0.05</v>
      </c>
      <c r="G8" s="10"/>
      <c r="H8" s="6"/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44" t="s">
        <v>12</v>
      </c>
      <c r="C10" s="30">
        <v>2025</v>
      </c>
      <c r="D10" s="445">
        <v>2026</v>
      </c>
      <c r="E10" s="445">
        <v>2027</v>
      </c>
      <c r="F10" s="445">
        <v>2028</v>
      </c>
      <c r="G10" s="445">
        <v>2029</v>
      </c>
      <c r="H10" s="445">
        <v>2030</v>
      </c>
      <c r="I10" s="445">
        <v>2031</v>
      </c>
      <c r="J10" s="445">
        <v>2032</v>
      </c>
      <c r="K10" s="445">
        <v>2033</v>
      </c>
      <c r="L10" s="445">
        <v>2034</v>
      </c>
      <c r="M10" s="445">
        <v>2035</v>
      </c>
    </row>
    <row r="11" spans="1:13" ht="18" thickBot="1">
      <c r="A11" s="2"/>
      <c r="B11" s="7" t="s">
        <v>215</v>
      </c>
      <c r="C11" s="32">
        <v>159.62</v>
      </c>
      <c r="D11" s="33">
        <f>C11*(1+F3)</f>
        <v>255.39200000000002</v>
      </c>
      <c r="E11" s="33">
        <f>D11*(1+$G$3)</f>
        <v>370.3184</v>
      </c>
      <c r="F11" s="33">
        <f>E11*(1+$H$3)</f>
        <v>518.44575999999995</v>
      </c>
      <c r="G11" s="33">
        <f>F11*(1+$I$3)</f>
        <v>648.05719999999997</v>
      </c>
      <c r="H11" s="33">
        <f>G11*(1+$J$3)</f>
        <v>777.66863999999998</v>
      </c>
      <c r="I11" s="33">
        <f>H11*(1+$C$8)</f>
        <v>816.55207200000007</v>
      </c>
      <c r="J11" s="33">
        <f>I11*(1+$C$8)</f>
        <v>857.37967560000016</v>
      </c>
      <c r="K11" s="33">
        <f>J11*(1+$C$8)</f>
        <v>900.24865938000016</v>
      </c>
      <c r="L11" s="33">
        <f>K11*(1+$C$8)</f>
        <v>945.26109234900025</v>
      </c>
      <c r="M11" s="33">
        <f>L11*(1+$C$8)</f>
        <v>992.5241469664503</v>
      </c>
    </row>
    <row r="12" spans="1:13" ht="18" thickBot="1">
      <c r="A12" s="2"/>
      <c r="B12" s="17" t="s">
        <v>216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13564.496675208151</v>
      </c>
    </row>
    <row r="13" spans="1:13" ht="20" thickBot="1">
      <c r="A13" s="2"/>
      <c r="B13" s="35" t="s">
        <v>217</v>
      </c>
      <c r="C13" s="34"/>
      <c r="D13" s="33">
        <f t="shared" ref="D13:L13" si="0">D11</f>
        <v>255.39200000000002</v>
      </c>
      <c r="E13" s="33">
        <f t="shared" si="0"/>
        <v>370.3184</v>
      </c>
      <c r="F13" s="33">
        <f t="shared" si="0"/>
        <v>518.44575999999995</v>
      </c>
      <c r="G13" s="33">
        <f t="shared" si="0"/>
        <v>648.05719999999997</v>
      </c>
      <c r="H13" s="33">
        <f t="shared" si="0"/>
        <v>777.66863999999998</v>
      </c>
      <c r="I13" s="33">
        <f t="shared" si="0"/>
        <v>816.55207200000007</v>
      </c>
      <c r="J13" s="33">
        <f t="shared" si="0"/>
        <v>857.37967560000016</v>
      </c>
      <c r="K13" s="33">
        <f t="shared" si="0"/>
        <v>900.24865938000016</v>
      </c>
      <c r="L13" s="33">
        <f t="shared" si="0"/>
        <v>945.26109234900025</v>
      </c>
      <c r="M13" s="60">
        <f>M11+M12</f>
        <v>14557.020822174602</v>
      </c>
    </row>
    <row r="14" spans="1:13" ht="15" thickBot="1">
      <c r="A14" s="2"/>
      <c r="B14" s="431" t="s">
        <v>253</v>
      </c>
      <c r="C14" s="37">
        <f>C11/F7</f>
        <v>0.13030204081632654</v>
      </c>
      <c r="D14" s="37">
        <f>C14*(1+$F$3)/(1+$F$4)</f>
        <v>0.17373605442176876</v>
      </c>
      <c r="E14" s="37">
        <f>D14*(1+$G$3)/(1+$G$4)</f>
        <v>0.21348921941658025</v>
      </c>
      <c r="F14" s="37">
        <f>E14*(1+$H$3)/(1+$H$4)</f>
        <v>0.25765940274414856</v>
      </c>
      <c r="G14" s="37">
        <f>F14*(1+$I$3)/(1+$I$4)</f>
        <v>0.28252127493875934</v>
      </c>
      <c r="H14" s="37">
        <f>G14*(1+$J$3)/(1+$J$4)</f>
        <v>0.31391252770973255</v>
      </c>
      <c r="I14" s="61">
        <f>H14*(1+$C$8)/(1+$F$8)</f>
        <v>0.31391252770973255</v>
      </c>
      <c r="J14" s="61">
        <f>I14*(1+$C$8)/(1+$F$8)</f>
        <v>0.31391252770973255</v>
      </c>
      <c r="K14" s="61">
        <f>J14*(1+$C$8)/(1+$F$8)</f>
        <v>0.31391252770973255</v>
      </c>
      <c r="L14" s="61">
        <f>K14*(1+$C$8)/(1+$F$8)</f>
        <v>0.31391252770973255</v>
      </c>
      <c r="M14" s="61">
        <f>L14*(1+$C$8)/(1+$F$8)</f>
        <v>0.31391252770973255</v>
      </c>
    </row>
    <row r="15" spans="1:13" ht="16" thickBot="1">
      <c r="A15" s="6"/>
      <c r="B15" s="430" t="s">
        <v>208</v>
      </c>
      <c r="C15" s="438">
        <f>C11/C14</f>
        <v>1225</v>
      </c>
      <c r="D15" s="438">
        <f t="shared" ref="D15:M15" si="1">D11/D14</f>
        <v>1469.9999999999998</v>
      </c>
      <c r="E15" s="438">
        <f t="shared" si="1"/>
        <v>1734.5999999999995</v>
      </c>
      <c r="F15" s="438">
        <f t="shared" si="1"/>
        <v>2012.1359999999995</v>
      </c>
      <c r="G15" s="438">
        <f>G11/G14</f>
        <v>2293.8350399999999</v>
      </c>
      <c r="H15" s="438">
        <f t="shared" si="1"/>
        <v>2477.3418432000003</v>
      </c>
      <c r="I15" s="438">
        <f t="shared" si="1"/>
        <v>2601.2089353600004</v>
      </c>
      <c r="J15" s="438">
        <f t="shared" si="1"/>
        <v>2731.2693821280009</v>
      </c>
      <c r="K15" s="438">
        <f t="shared" si="1"/>
        <v>2867.832851234401</v>
      </c>
      <c r="L15" s="438">
        <f t="shared" si="1"/>
        <v>3011.2244937961214</v>
      </c>
      <c r="M15" s="438">
        <f t="shared" si="1"/>
        <v>3161.7857184859272</v>
      </c>
    </row>
    <row r="16" spans="1:13" ht="15" customHeight="1" thickBot="1">
      <c r="A16" s="2"/>
      <c r="H16" s="6"/>
      <c r="I16" s="6"/>
      <c r="J16" s="6"/>
      <c r="K16" s="6"/>
      <c r="L16" s="6"/>
      <c r="M16" s="6"/>
    </row>
    <row r="17" spans="1:13" ht="18" customHeight="1" thickBot="1">
      <c r="A17" s="2"/>
      <c r="B17" s="444" t="s">
        <v>16</v>
      </c>
      <c r="C17" s="445"/>
      <c r="D17" s="6"/>
      <c r="E17" s="6"/>
      <c r="F17" s="6"/>
      <c r="G17" s="6"/>
      <c r="H17" s="6"/>
      <c r="I17" s="6"/>
      <c r="J17" s="6"/>
      <c r="K17" s="6"/>
      <c r="L17" s="6"/>
      <c r="M17" s="6"/>
    </row>
    <row r="18" spans="1:13" ht="18" thickBot="1">
      <c r="A18" s="2"/>
      <c r="B18" s="41" t="s">
        <v>218</v>
      </c>
      <c r="C18" s="42">
        <f>NPV(C6,D13:M13)</f>
        <v>9187.3526229876425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219</v>
      </c>
      <c r="C19" s="32">
        <v>385.18</v>
      </c>
      <c r="D19" s="6"/>
      <c r="E19" s="6"/>
      <c r="F19" s="6"/>
      <c r="G19" s="6"/>
      <c r="H19" s="6"/>
      <c r="I19" s="6"/>
      <c r="J19" s="6"/>
      <c r="K19" s="6"/>
      <c r="L19" s="6"/>
      <c r="M19" s="6"/>
    </row>
    <row r="20" spans="1:13" ht="18" customHeight="1" thickBot="1">
      <c r="A20" s="2"/>
      <c r="B20" s="43" t="s">
        <v>220</v>
      </c>
      <c r="C20" s="32">
        <v>196.88</v>
      </c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18" customHeight="1" thickBot="1">
      <c r="A21" s="2"/>
      <c r="B21" s="46" t="s">
        <v>221</v>
      </c>
      <c r="C21" s="445">
        <f>C18+C19-C20</f>
        <v>9375.6526229876436</v>
      </c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18" thickBot="1">
      <c r="A22" s="50"/>
      <c r="B22" s="48" t="s">
        <v>222</v>
      </c>
      <c r="C22" s="49">
        <v>237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51" t="s">
        <v>224</v>
      </c>
      <c r="C23" s="52">
        <f>C21/C22</f>
        <v>39.559715708808625</v>
      </c>
      <c r="D23" s="6"/>
      <c r="E23" s="43" t="s">
        <v>225</v>
      </c>
      <c r="F23" s="43">
        <f>C24</f>
        <v>19.940000000000001</v>
      </c>
      <c r="G23" s="6"/>
      <c r="H23" s="6"/>
      <c r="I23" s="6"/>
      <c r="J23" s="6"/>
      <c r="K23" s="6"/>
      <c r="L23" s="6"/>
      <c r="M23" s="6"/>
    </row>
    <row r="24" spans="1:13" ht="18" thickBot="1">
      <c r="A24" s="2"/>
      <c r="B24" s="43" t="s">
        <v>225</v>
      </c>
      <c r="C24" s="53">
        <v>19.940000000000001</v>
      </c>
      <c r="D24" s="6"/>
      <c r="E24" s="432" t="s">
        <v>228</v>
      </c>
      <c r="F24" s="445">
        <f>C23</f>
        <v>39.559715708808625</v>
      </c>
      <c r="H24" s="6"/>
      <c r="I24" s="6"/>
      <c r="J24" s="6"/>
      <c r="K24" s="6"/>
      <c r="L24" s="6"/>
      <c r="M24" s="6"/>
    </row>
    <row r="25" spans="1:13" ht="20" thickBot="1">
      <c r="A25" s="2"/>
      <c r="B25" s="54" t="s">
        <v>226</v>
      </c>
      <c r="C25" s="55">
        <f>(C23-C24)/C24</f>
        <v>0.98393759823513649</v>
      </c>
      <c r="D25" s="6"/>
      <c r="E25" s="6"/>
      <c r="F25" s="424"/>
      <c r="G25" s="6"/>
      <c r="H25" s="6"/>
      <c r="I25" s="6"/>
      <c r="J25" s="6"/>
      <c r="K25" s="6"/>
      <c r="L25" s="6"/>
      <c r="M25" s="6"/>
    </row>
    <row r="26" spans="1:13" ht="18" thickBot="1">
      <c r="A26" s="2"/>
      <c r="B26" s="56" t="s">
        <v>227</v>
      </c>
      <c r="C26" s="52" t="str">
        <f>IF(C25&gt;0,"BUY","SELL")</f>
        <v>BUY</v>
      </c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13" customHeight="1">
      <c r="B29" s="446" t="s">
        <v>229</v>
      </c>
    </row>
    <row r="30" spans="1:13">
      <c r="B30" s="443"/>
    </row>
    <row r="31" spans="1:13">
      <c r="B31" s="443"/>
    </row>
    <row r="32" spans="1:13">
      <c r="B32" s="443"/>
    </row>
    <row r="36" spans="8:8">
      <c r="H36" s="269" t="s">
        <v>139</v>
      </c>
    </row>
  </sheetData>
  <phoneticPr fontId="23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D3A06-9458-6942-9330-E47735E71039}">
  <dimension ref="A1:M63"/>
  <sheetViews>
    <sheetView zoomScale="150" workbookViewId="0">
      <selection activeCell="I19" sqref="I19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406" customWidth="1"/>
    <col min="4" max="4" width="12.5" style="406" customWidth="1"/>
    <col min="5" max="5" width="16" style="406" customWidth="1"/>
    <col min="6" max="6" width="21.33203125" style="406" bestFit="1" customWidth="1"/>
    <col min="7" max="7" width="18.6640625" style="406" customWidth="1"/>
    <col min="8" max="8" width="10.6640625" style="406" bestFit="1" customWidth="1"/>
    <col min="9" max="9" width="15.6640625" style="406" customWidth="1"/>
    <col min="10" max="12" width="10.6640625" style="406" bestFit="1" customWidth="1"/>
    <col min="13" max="13" width="14.83203125" style="406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202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0.4</v>
      </c>
      <c r="I3" s="12">
        <v>0.3</v>
      </c>
      <c r="J3" s="12">
        <v>0.2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>
        <v>14206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07" t="s">
        <v>162</v>
      </c>
      <c r="F6" s="407"/>
      <c r="G6" s="407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08" t="s">
        <v>12</v>
      </c>
      <c r="C10" s="30">
        <v>2024</v>
      </c>
      <c r="D10" s="409">
        <v>2025</v>
      </c>
      <c r="E10" s="409">
        <v>2026</v>
      </c>
      <c r="F10" s="409">
        <v>2027</v>
      </c>
      <c r="G10" s="409">
        <v>2028</v>
      </c>
      <c r="H10" s="409">
        <v>2029</v>
      </c>
      <c r="I10" s="409">
        <v>2030</v>
      </c>
      <c r="J10" s="409">
        <v>2031</v>
      </c>
      <c r="K10" s="409">
        <v>2032</v>
      </c>
      <c r="L10" s="409">
        <v>2033</v>
      </c>
      <c r="M10" s="409">
        <v>2034</v>
      </c>
    </row>
    <row r="11" spans="1:13" ht="18" thickBot="1">
      <c r="A11" s="2"/>
      <c r="B11" s="7" t="s">
        <v>13</v>
      </c>
      <c r="C11" s="32">
        <v>1194</v>
      </c>
      <c r="D11" s="33">
        <f>C11*(1+H3)</f>
        <v>1671.6</v>
      </c>
      <c r="E11" s="33">
        <f>D11*(1+$I$3)</f>
        <v>2173.08</v>
      </c>
      <c r="F11" s="33">
        <f>E11*(1+$J$3)</f>
        <v>2607.6959999999999</v>
      </c>
      <c r="G11" s="33">
        <f>F11*(1+$K$3)</f>
        <v>3129.2351999999996</v>
      </c>
      <c r="H11" s="33">
        <f>G11*(1+$L$3)</f>
        <v>3755.0822399999993</v>
      </c>
      <c r="I11" s="33">
        <f>H11*(1+$C$8)</f>
        <v>4130.5904639999999</v>
      </c>
      <c r="J11" s="33">
        <f>I11*(1+$C$8)</f>
        <v>4543.6495104000005</v>
      </c>
      <c r="K11" s="33">
        <f>J11*(1+$C$8)</f>
        <v>4998.0144614400006</v>
      </c>
      <c r="L11" s="33">
        <f>K11*(1+$C$8)</f>
        <v>5497.8159075840013</v>
      </c>
      <c r="M11" s="33">
        <f>L11*(1+$C$8)</f>
        <v>6047.5974983424021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82650.499144012807</v>
      </c>
    </row>
    <row r="13" spans="1:13" ht="20" thickBot="1">
      <c r="A13" s="2"/>
      <c r="B13" s="35" t="s">
        <v>15</v>
      </c>
      <c r="C13" s="34"/>
      <c r="D13" s="33">
        <f t="shared" ref="D13:L13" si="0">D11</f>
        <v>1671.6</v>
      </c>
      <c r="E13" s="33">
        <f t="shared" si="0"/>
        <v>2173.08</v>
      </c>
      <c r="F13" s="33">
        <f t="shared" si="0"/>
        <v>2607.6959999999999</v>
      </c>
      <c r="G13" s="33">
        <f t="shared" si="0"/>
        <v>3129.2351999999996</v>
      </c>
      <c r="H13" s="33">
        <f t="shared" si="0"/>
        <v>3755.0822399999993</v>
      </c>
      <c r="I13" s="33">
        <f t="shared" si="0"/>
        <v>4130.5904639999999</v>
      </c>
      <c r="J13" s="33">
        <f t="shared" si="0"/>
        <v>4543.6495104000005</v>
      </c>
      <c r="K13" s="33">
        <f t="shared" si="0"/>
        <v>4998.0144614400006</v>
      </c>
      <c r="L13" s="33">
        <f t="shared" si="0"/>
        <v>5497.8159075840013</v>
      </c>
      <c r="M13" s="60">
        <f>M11+M12</f>
        <v>88698.096642355202</v>
      </c>
    </row>
    <row r="14" spans="1:13" ht="15" thickBot="1">
      <c r="A14" s="2"/>
      <c r="B14" s="36" t="s">
        <v>35</v>
      </c>
      <c r="C14" s="37">
        <f>C11/J5</f>
        <v>8.4048993383077572E-2</v>
      </c>
      <c r="D14" s="37">
        <f>C14*(1+$H$3)/(1+$H$4)</f>
        <v>9.3387770425641739E-2</v>
      </c>
      <c r="E14" s="37">
        <f>D14*(1+$I$3)/(1+$I$4)</f>
        <v>0.10117008462777856</v>
      </c>
      <c r="F14" s="37">
        <f>E14*(1+$J$3)/(1+$J$4)</f>
        <v>0.10117008462777856</v>
      </c>
      <c r="G14" s="37">
        <f>F14*(1+$K$3)/(1+$K$4)</f>
        <v>0.10117008462777856</v>
      </c>
      <c r="H14" s="37">
        <f>G14*(1+$L$3)/(1+$L$4)</f>
        <v>0.10117008462777856</v>
      </c>
      <c r="I14" s="61">
        <f>H14*(1+$C$8)/(1+$J$8)</f>
        <v>0.10598770770529183</v>
      </c>
      <c r="J14" s="61">
        <f>I14*(1+$C$8)/(1+$J$8)</f>
        <v>0.11103474140554381</v>
      </c>
      <c r="K14" s="61">
        <f>J14*(1+$C$8)/(1+$J$8)</f>
        <v>0.11632211004390304</v>
      </c>
      <c r="L14" s="61">
        <f>K14*(1+$C$8)/(1+$J$8)</f>
        <v>0.12186125814123176</v>
      </c>
      <c r="M14" s="61">
        <f>L14*(1+$C$8)/(1+$J$8)</f>
        <v>0.12766417519557613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408" t="s">
        <v>16</v>
      </c>
      <c r="C16" s="409"/>
      <c r="D16" s="40"/>
      <c r="E16" s="410" t="s">
        <v>80</v>
      </c>
      <c r="F16" s="411">
        <f>C22</f>
        <v>53.171367476440814</v>
      </c>
      <c r="G16" s="411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53267.089704503509</v>
      </c>
      <c r="D17" s="40"/>
      <c r="E17" s="411"/>
      <c r="F17" s="411"/>
      <c r="G17" s="411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1491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8499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409">
        <f>C17+C18-C19</f>
        <v>46259.089704503509</v>
      </c>
      <c r="D20" s="47"/>
      <c r="E20" s="412" t="s">
        <v>22</v>
      </c>
      <c r="F20" s="365">
        <f>C23</f>
        <v>76.88</v>
      </c>
      <c r="G20" s="413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870</v>
      </c>
      <c r="D21" s="47"/>
      <c r="E21" s="412"/>
      <c r="F21" s="413"/>
      <c r="G21" s="413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53.171367476440814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76.88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-0.30838491836055126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SELL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AB565-8F48-AD45-9C20-ECB791A71D09}">
  <dimension ref="A1:M63"/>
  <sheetViews>
    <sheetView zoomScale="150" workbookViewId="0">
      <selection activeCell="K35" sqref="A1:XFD1048576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414" customWidth="1"/>
    <col min="4" max="4" width="12.5" style="414" customWidth="1"/>
    <col min="5" max="5" width="16" style="414" customWidth="1"/>
    <col min="6" max="6" width="21.33203125" style="414" bestFit="1" customWidth="1"/>
    <col min="7" max="7" width="18.6640625" style="414" customWidth="1"/>
    <col min="8" max="8" width="10.6640625" style="414" bestFit="1" customWidth="1"/>
    <col min="9" max="9" width="15.6640625" style="414" customWidth="1"/>
    <col min="10" max="12" width="10.6640625" style="414" bestFit="1" customWidth="1"/>
    <col min="13" max="13" width="14.83203125" style="414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203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2</v>
      </c>
      <c r="I3" s="12">
        <v>1</v>
      </c>
      <c r="J3" s="12">
        <v>0.6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>
        <v>600.14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15" t="s">
        <v>162</v>
      </c>
      <c r="F6" s="415"/>
      <c r="G6" s="41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16" t="s">
        <v>12</v>
      </c>
      <c r="C10" s="30">
        <v>2024</v>
      </c>
      <c r="D10" s="417">
        <v>2025</v>
      </c>
      <c r="E10" s="417">
        <v>2026</v>
      </c>
      <c r="F10" s="417">
        <v>2027</v>
      </c>
      <c r="G10" s="417">
        <v>2028</v>
      </c>
      <c r="H10" s="417">
        <v>2029</v>
      </c>
      <c r="I10" s="417">
        <v>2030</v>
      </c>
      <c r="J10" s="417">
        <v>2031</v>
      </c>
      <c r="K10" s="417">
        <v>2032</v>
      </c>
      <c r="L10" s="417">
        <v>2033</v>
      </c>
      <c r="M10" s="417">
        <v>2034</v>
      </c>
    </row>
    <row r="11" spans="1:13" ht="18" thickBot="1">
      <c r="A11" s="2"/>
      <c r="B11" s="7" t="s">
        <v>13</v>
      </c>
      <c r="C11" s="32">
        <v>160</v>
      </c>
      <c r="D11" s="33">
        <f>C11*(1+H3)</f>
        <v>480</v>
      </c>
      <c r="E11" s="33">
        <f>D11*(1+$I$3)</f>
        <v>960</v>
      </c>
      <c r="F11" s="33">
        <f>E11*(1+$J$3)</f>
        <v>1536</v>
      </c>
      <c r="G11" s="33">
        <f>F11*(1+$K$3)</f>
        <v>1843.1999999999998</v>
      </c>
      <c r="H11" s="33">
        <f>G11*(1+$L$3)</f>
        <v>2211.8399999999997</v>
      </c>
      <c r="I11" s="33">
        <f>H11*(1+$C$8)</f>
        <v>2433.0239999999999</v>
      </c>
      <c r="J11" s="33">
        <f>I11*(1+$C$8)</f>
        <v>2676.3263999999999</v>
      </c>
      <c r="K11" s="33">
        <f>J11*(1+$C$8)</f>
        <v>2943.9590400000002</v>
      </c>
      <c r="L11" s="33">
        <f>K11*(1+$C$8)</f>
        <v>3238.3549440000006</v>
      </c>
      <c r="M11" s="33">
        <f>L11*(1+$C$8)</f>
        <v>3562.1904384000009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48683.2693248</v>
      </c>
    </row>
    <row r="13" spans="1:13" ht="20" thickBot="1">
      <c r="A13" s="2"/>
      <c r="B13" s="35" t="s">
        <v>15</v>
      </c>
      <c r="C13" s="34"/>
      <c r="D13" s="33">
        <f t="shared" ref="D13:L13" si="0">D11</f>
        <v>480</v>
      </c>
      <c r="E13" s="33">
        <f t="shared" si="0"/>
        <v>960</v>
      </c>
      <c r="F13" s="33">
        <f t="shared" si="0"/>
        <v>1536</v>
      </c>
      <c r="G13" s="33">
        <f t="shared" si="0"/>
        <v>1843.1999999999998</v>
      </c>
      <c r="H13" s="33">
        <f t="shared" si="0"/>
        <v>2211.8399999999997</v>
      </c>
      <c r="I13" s="33">
        <f t="shared" si="0"/>
        <v>2433.0239999999999</v>
      </c>
      <c r="J13" s="33">
        <f t="shared" si="0"/>
        <v>2676.3263999999999</v>
      </c>
      <c r="K13" s="33">
        <f t="shared" si="0"/>
        <v>2943.9590400000002</v>
      </c>
      <c r="L13" s="33">
        <f t="shared" si="0"/>
        <v>3238.3549440000006</v>
      </c>
      <c r="M13" s="60">
        <f>M11+M12</f>
        <v>52245.4597632</v>
      </c>
    </row>
    <row r="14" spans="1:13" ht="15" thickBot="1">
      <c r="A14" s="2"/>
      <c r="B14" s="36" t="s">
        <v>35</v>
      </c>
      <c r="C14" s="37">
        <f>C11/J5</f>
        <v>0.26660445895957613</v>
      </c>
      <c r="D14" s="37">
        <f>C14*(1+$H$3)/(1+$H$4)</f>
        <v>0.63477252133232409</v>
      </c>
      <c r="E14" s="37">
        <f>D14*(1+$I$3)/(1+$I$4)</f>
        <v>1.0579542022205402</v>
      </c>
      <c r="F14" s="37">
        <f>E14*(1+$J$3)/(1+$J$4)</f>
        <v>1.4106056029607204</v>
      </c>
      <c r="G14" s="37">
        <f>F14*(1+$K$3)/(1+$K$4)</f>
        <v>1.4106056029607204</v>
      </c>
      <c r="H14" s="37">
        <f>G14*(1+$L$3)/(1+$L$4)</f>
        <v>1.4106056029607204</v>
      </c>
      <c r="I14" s="61">
        <f>H14*(1+$C$8)/(1+$J$8)</f>
        <v>1.4777772983398023</v>
      </c>
      <c r="J14" s="61">
        <f>I14*(1+$C$8)/(1+$J$8)</f>
        <v>1.5481476458797929</v>
      </c>
      <c r="K14" s="61">
        <f>J14*(1+$C$8)/(1+$J$8)</f>
        <v>1.6218689623502593</v>
      </c>
      <c r="L14" s="61">
        <f>K14*(1+$C$8)/(1+$J$8)</f>
        <v>1.6991008177002718</v>
      </c>
      <c r="M14" s="61">
        <f>L14*(1+$C$8)/(1+$J$8)</f>
        <v>1.7800103804479039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416" t="s">
        <v>16</v>
      </c>
      <c r="C16" s="417"/>
      <c r="D16" s="40"/>
      <c r="E16" s="418" t="s">
        <v>80</v>
      </c>
      <c r="F16" s="419">
        <f>C22</f>
        <v>167.29312640896552</v>
      </c>
      <c r="G16" s="419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30652.481512067585</v>
      </c>
      <c r="D17" s="40"/>
      <c r="E17" s="419"/>
      <c r="F17" s="419"/>
      <c r="G17" s="41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479.65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15.61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417">
        <f>C17+C18-C19</f>
        <v>31116.521512067586</v>
      </c>
      <c r="D20" s="47"/>
      <c r="E20" s="420" t="s">
        <v>22</v>
      </c>
      <c r="F20" s="365">
        <f>C23</f>
        <v>164.44</v>
      </c>
      <c r="G20" s="421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186</v>
      </c>
      <c r="D21" s="47"/>
      <c r="E21" s="420"/>
      <c r="F21" s="421"/>
      <c r="G21" s="42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167.29312640896552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164.44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1.7350561961600112E-2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EFE5-DE24-164E-9F36-8D1F2D4CEA57}">
  <dimension ref="A1:M63"/>
  <sheetViews>
    <sheetView zoomScale="157" workbookViewId="0">
      <selection activeCell="F37" sqref="F37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414" customWidth="1"/>
    <col min="4" max="4" width="12.5" style="414" customWidth="1"/>
    <col min="5" max="5" width="16" style="414" customWidth="1"/>
    <col min="6" max="6" width="21.33203125" style="414" bestFit="1" customWidth="1"/>
    <col min="7" max="7" width="18.6640625" style="414" customWidth="1"/>
    <col min="8" max="8" width="10.6640625" style="414" bestFit="1" customWidth="1"/>
    <col min="9" max="9" width="15.6640625" style="414" customWidth="1"/>
    <col min="10" max="12" width="10.6640625" style="414" bestFit="1" customWidth="1"/>
    <col min="13" max="13" width="14.83203125" style="414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204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0.6</v>
      </c>
      <c r="I3" s="12">
        <v>0.4</v>
      </c>
      <c r="J3" s="12">
        <v>0.3</v>
      </c>
      <c r="K3" s="12">
        <v>0.2</v>
      </c>
      <c r="L3" s="12">
        <v>0.2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>
        <v>7685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15" t="s">
        <v>162</v>
      </c>
      <c r="F6" s="415"/>
      <c r="G6" s="41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0.1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16" t="s">
        <v>12</v>
      </c>
      <c r="C10" s="30">
        <v>2024</v>
      </c>
      <c r="D10" s="417">
        <v>2025</v>
      </c>
      <c r="E10" s="417">
        <v>2026</v>
      </c>
      <c r="F10" s="417">
        <v>2027</v>
      </c>
      <c r="G10" s="417">
        <v>2028</v>
      </c>
      <c r="H10" s="417">
        <v>2029</v>
      </c>
      <c r="I10" s="417">
        <v>2030</v>
      </c>
      <c r="J10" s="417">
        <v>2031</v>
      </c>
      <c r="K10" s="417">
        <v>2032</v>
      </c>
      <c r="L10" s="417">
        <v>2033</v>
      </c>
      <c r="M10" s="417">
        <v>2034</v>
      </c>
    </row>
    <row r="11" spans="1:13" ht="18" thickBot="1">
      <c r="A11" s="2"/>
      <c r="B11" s="7" t="s">
        <v>13</v>
      </c>
      <c r="C11" s="32">
        <v>560.97</v>
      </c>
      <c r="D11" s="33">
        <f>C11*(1+H3)</f>
        <v>897.55200000000013</v>
      </c>
      <c r="E11" s="33">
        <f>D11*(1+$I$3)</f>
        <v>1256.5728000000001</v>
      </c>
      <c r="F11" s="33">
        <f>E11*(1+$J$3)</f>
        <v>1633.5446400000003</v>
      </c>
      <c r="G11" s="33">
        <f>F11*(1+$K$3)</f>
        <v>1960.2535680000003</v>
      </c>
      <c r="H11" s="33">
        <f>G11*(1+$L$3)</f>
        <v>2352.3042816000002</v>
      </c>
      <c r="I11" s="33">
        <f>H11*(1+$C$8)</f>
        <v>2587.5347097600006</v>
      </c>
      <c r="J11" s="33">
        <f>I11*(1+$C$8)</f>
        <v>2846.2881807360009</v>
      </c>
      <c r="K11" s="33">
        <f>J11*(1+$C$8)</f>
        <v>3130.9169988096014</v>
      </c>
      <c r="L11" s="33">
        <f>K11*(1+$C$8)</f>
        <v>3444.0086986905617</v>
      </c>
      <c r="M11" s="33">
        <f>L11*(1+$C$8)</f>
        <v>3788.409568559618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51774.930770314764</v>
      </c>
    </row>
    <row r="13" spans="1:13" ht="20" thickBot="1">
      <c r="A13" s="2"/>
      <c r="B13" s="35" t="s">
        <v>15</v>
      </c>
      <c r="C13" s="34"/>
      <c r="D13" s="33">
        <f t="shared" ref="D13:L13" si="0">D11</f>
        <v>897.55200000000013</v>
      </c>
      <c r="E13" s="33">
        <f t="shared" si="0"/>
        <v>1256.5728000000001</v>
      </c>
      <c r="F13" s="33">
        <f t="shared" si="0"/>
        <v>1633.5446400000003</v>
      </c>
      <c r="G13" s="33">
        <f t="shared" si="0"/>
        <v>1960.2535680000003</v>
      </c>
      <c r="H13" s="33">
        <f t="shared" si="0"/>
        <v>2352.3042816000002</v>
      </c>
      <c r="I13" s="33">
        <f t="shared" si="0"/>
        <v>2587.5347097600006</v>
      </c>
      <c r="J13" s="33">
        <f t="shared" si="0"/>
        <v>2846.2881807360009</v>
      </c>
      <c r="K13" s="33">
        <f t="shared" si="0"/>
        <v>3130.9169988096014</v>
      </c>
      <c r="L13" s="33">
        <f t="shared" si="0"/>
        <v>3444.0086986905617</v>
      </c>
      <c r="M13" s="60">
        <f>M11+M12</f>
        <v>55563.340338874383</v>
      </c>
    </row>
    <row r="14" spans="1:13" ht="15" thickBot="1">
      <c r="A14" s="2"/>
      <c r="B14" s="36" t="s">
        <v>35</v>
      </c>
      <c r="C14" s="37">
        <f>C11/J5</f>
        <v>7.2995445673389725E-2</v>
      </c>
      <c r="D14" s="37">
        <f>C14*(1+$H$3)/(1+$H$4)</f>
        <v>9.2692629426526632E-2</v>
      </c>
      <c r="E14" s="37">
        <f>D14*(1+$I$3)/(1+$I$4)</f>
        <v>0.10814140099761441</v>
      </c>
      <c r="F14" s="37">
        <f>E14*(1+$J$3)/(1+$J$4)</f>
        <v>0.11715318441408228</v>
      </c>
      <c r="G14" s="37">
        <f>F14*(1+$K$3)/(1+$K$4)</f>
        <v>0.11715318441408228</v>
      </c>
      <c r="H14" s="37">
        <f>G14*(1+$L$3)/(1+$L$4)</f>
        <v>0.11715318441408228</v>
      </c>
      <c r="I14" s="61">
        <f>H14*(1+$C$8)/(1+$J$8)</f>
        <v>0.12273190748141953</v>
      </c>
      <c r="J14" s="61">
        <f>I14*(1+$C$8)/(1+$J$8)</f>
        <v>0.1285762840281538</v>
      </c>
      <c r="K14" s="61">
        <f>J14*(1+$C$8)/(1+$J$8)</f>
        <v>0.13469896421997066</v>
      </c>
      <c r="L14" s="61">
        <f>K14*(1+$C$8)/(1+$J$8)</f>
        <v>0.14111320061139784</v>
      </c>
      <c r="M14" s="61">
        <f>L14*(1+$C$8)/(1+$J$8)</f>
        <v>0.14783287683098822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416" t="s">
        <v>16</v>
      </c>
      <c r="C16" s="417"/>
      <c r="D16" s="40"/>
      <c r="E16" s="418" t="s">
        <v>80</v>
      </c>
      <c r="F16" s="419">
        <f>C22</f>
        <v>921.48262637818641</v>
      </c>
      <c r="G16" s="419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33145.684549614707</v>
      </c>
      <c r="D17" s="40"/>
      <c r="E17" s="419"/>
      <c r="F17" s="419"/>
      <c r="G17" s="41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339.11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311.42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417">
        <f>C17+C18-C19</f>
        <v>33173.374549614709</v>
      </c>
      <c r="D20" s="47"/>
      <c r="E20" s="420" t="s">
        <v>22</v>
      </c>
      <c r="F20" s="365">
        <f>C23</f>
        <v>791.79</v>
      </c>
      <c r="G20" s="421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36</v>
      </c>
      <c r="D21" s="47"/>
      <c r="E21" s="420"/>
      <c r="F21" s="421"/>
      <c r="G21" s="42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921.48262637818641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791.79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0.16379674708974154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21562-3D59-0946-B11C-A5C37CD73372}">
  <dimension ref="A1:M63"/>
  <sheetViews>
    <sheetView zoomScale="158" workbookViewId="0">
      <selection activeCell="G35" sqref="G35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414" customWidth="1"/>
    <col min="4" max="4" width="12.5" style="414" customWidth="1"/>
    <col min="5" max="5" width="16" style="414" customWidth="1"/>
    <col min="6" max="6" width="21.33203125" style="414" bestFit="1" customWidth="1"/>
    <col min="7" max="7" width="18.6640625" style="414" customWidth="1"/>
    <col min="8" max="8" width="10.6640625" style="414" bestFit="1" customWidth="1"/>
    <col min="9" max="9" width="15.6640625" style="414" customWidth="1"/>
    <col min="10" max="12" width="10.6640625" style="414" bestFit="1" customWidth="1"/>
    <col min="13" max="13" width="14.83203125" style="414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205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0.22</v>
      </c>
      <c r="I3" s="12">
        <v>0.15</v>
      </c>
      <c r="J3" s="12">
        <v>0.16</v>
      </c>
      <c r="K3" s="12">
        <v>0.18</v>
      </c>
      <c r="L3" s="12">
        <v>0.15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>
        <v>15639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15" t="s">
        <v>162</v>
      </c>
      <c r="F6" s="415"/>
      <c r="G6" s="41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16" t="s">
        <v>12</v>
      </c>
      <c r="C10" s="30">
        <v>2024</v>
      </c>
      <c r="D10" s="417">
        <v>2025</v>
      </c>
      <c r="E10" s="417">
        <v>2026</v>
      </c>
      <c r="F10" s="417">
        <v>2027</v>
      </c>
      <c r="G10" s="417">
        <v>2028</v>
      </c>
      <c r="H10" s="417">
        <v>2029</v>
      </c>
      <c r="I10" s="417">
        <v>2030</v>
      </c>
      <c r="J10" s="417">
        <v>2031</v>
      </c>
      <c r="K10" s="417">
        <v>2032</v>
      </c>
      <c r="L10" s="417">
        <v>2033</v>
      </c>
      <c r="M10" s="417">
        <v>2034</v>
      </c>
    </row>
    <row r="11" spans="1:13" ht="18" thickBot="1">
      <c r="A11" s="2"/>
      <c r="B11" s="7" t="s">
        <v>13</v>
      </c>
      <c r="C11" s="32">
        <v>1208</v>
      </c>
      <c r="D11" s="33">
        <f>C11*(1+H3)</f>
        <v>1473.76</v>
      </c>
      <c r="E11" s="33">
        <f>D11*(1+$I$3)</f>
        <v>1694.8239999999998</v>
      </c>
      <c r="F11" s="33">
        <f>E11*(1+$J$3)</f>
        <v>1965.9958399999996</v>
      </c>
      <c r="G11" s="33">
        <f>F11*(1+$K$3)</f>
        <v>2319.8750911999996</v>
      </c>
      <c r="H11" s="33">
        <f>G11*(1+$L$3)</f>
        <v>2667.8563548799993</v>
      </c>
      <c r="I11" s="33">
        <f>H11*(1+$C$8)</f>
        <v>2881.2848632703995</v>
      </c>
      <c r="J11" s="33">
        <f>I11*(1+$C$8)</f>
        <v>3111.7876523320315</v>
      </c>
      <c r="K11" s="33">
        <f>J11*(1+$C$8)</f>
        <v>3360.730664518594</v>
      </c>
      <c r="L11" s="33">
        <f>K11*(1+$C$8)</f>
        <v>3629.5891176800819</v>
      </c>
      <c r="M11" s="33">
        <f>L11*(1+$C$8)</f>
        <v>3919.9562470944888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53572.735376958</v>
      </c>
    </row>
    <row r="13" spans="1:13" ht="20" thickBot="1">
      <c r="A13" s="2"/>
      <c r="B13" s="35" t="s">
        <v>15</v>
      </c>
      <c r="C13" s="34"/>
      <c r="D13" s="33">
        <f t="shared" ref="D13:L13" si="0">D11</f>
        <v>1473.76</v>
      </c>
      <c r="E13" s="33">
        <f t="shared" si="0"/>
        <v>1694.8239999999998</v>
      </c>
      <c r="F13" s="33">
        <f t="shared" si="0"/>
        <v>1965.9958399999996</v>
      </c>
      <c r="G13" s="33">
        <f t="shared" si="0"/>
        <v>2319.8750911999996</v>
      </c>
      <c r="H13" s="33">
        <f t="shared" si="0"/>
        <v>2667.8563548799993</v>
      </c>
      <c r="I13" s="33">
        <f t="shared" si="0"/>
        <v>2881.2848632703995</v>
      </c>
      <c r="J13" s="33">
        <f t="shared" si="0"/>
        <v>3111.7876523320315</v>
      </c>
      <c r="K13" s="33">
        <f t="shared" si="0"/>
        <v>3360.730664518594</v>
      </c>
      <c r="L13" s="33">
        <f t="shared" si="0"/>
        <v>3629.5891176800819</v>
      </c>
      <c r="M13" s="60">
        <f>M11+M12</f>
        <v>57492.691624052488</v>
      </c>
    </row>
    <row r="14" spans="1:13" ht="15" thickBot="1">
      <c r="A14" s="2"/>
      <c r="B14" s="36" t="s">
        <v>35</v>
      </c>
      <c r="C14" s="37">
        <f>C11/J5</f>
        <v>7.7242790459748065E-2</v>
      </c>
      <c r="D14" s="37">
        <f>C14*(1+$H$3)/(1+$H$4)</f>
        <v>7.4790638381660821E-2</v>
      </c>
      <c r="E14" s="37">
        <f>D14*(1+$I$3)/(1+$I$4)</f>
        <v>7.167436178242495E-2</v>
      </c>
      <c r="F14" s="37">
        <f>E14*(1+$J$3)/(1+$J$4)</f>
        <v>6.9285216389677454E-2</v>
      </c>
      <c r="G14" s="37">
        <f>F14*(1+$K$3)/(1+$K$4)</f>
        <v>6.8130462783182827E-2</v>
      </c>
      <c r="H14" s="37">
        <f>G14*(1+$L$3)/(1+$L$4)</f>
        <v>6.5291693500550196E-2</v>
      </c>
      <c r="I14" s="61">
        <f>H14*(1+$C$8)/(1+$J$8)</f>
        <v>6.7157170457708776E-2</v>
      </c>
      <c r="J14" s="61">
        <f>I14*(1+$C$8)/(1+$J$8)</f>
        <v>6.9075946756500459E-2</v>
      </c>
      <c r="K14" s="61">
        <f>J14*(1+$C$8)/(1+$J$8)</f>
        <v>7.1049545235257611E-2</v>
      </c>
      <c r="L14" s="61">
        <f>K14*(1+$C$8)/(1+$J$8)</f>
        <v>7.3079532241979259E-2</v>
      </c>
      <c r="M14" s="61">
        <f>L14*(1+$C$8)/(1+$J$8)</f>
        <v>7.5167518877464382E-2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416" t="s">
        <v>16</v>
      </c>
      <c r="C16" s="417"/>
      <c r="D16" s="40"/>
      <c r="E16" s="418" t="s">
        <v>80</v>
      </c>
      <c r="F16" s="419">
        <f>C22</f>
        <v>777.48534509408114</v>
      </c>
      <c r="G16" s="419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35954.855874327732</v>
      </c>
      <c r="D17" s="40"/>
      <c r="E17" s="419"/>
      <c r="F17" s="419"/>
      <c r="G17" s="41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485.99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676.52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417">
        <f>C17+C18-C19</f>
        <v>35764.325874327733</v>
      </c>
      <c r="D20" s="47"/>
      <c r="E20" s="420" t="s">
        <v>22</v>
      </c>
      <c r="F20" s="365">
        <f>C23</f>
        <v>631.11</v>
      </c>
      <c r="G20" s="421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46</v>
      </c>
      <c r="D21" s="47"/>
      <c r="E21" s="420"/>
      <c r="F21" s="421"/>
      <c r="G21" s="42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777.48534509408114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631.11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0.23193317344691278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"/>
  <sheetViews>
    <sheetView workbookViewId="0">
      <selection activeCell="B29" sqref="B29:B31"/>
    </sheetView>
  </sheetViews>
  <sheetFormatPr baseColWidth="10" defaultColWidth="9" defaultRowHeight="14"/>
  <cols>
    <col min="2" max="2" width="38.6640625" customWidth="1"/>
    <col min="3" max="3" width="16.1640625"/>
    <col min="5" max="5" width="10.83203125" customWidth="1"/>
    <col min="6" max="6" width="13.5" customWidth="1"/>
    <col min="7" max="7" width="14.1640625" customWidth="1"/>
    <col min="8" max="8" width="19.6640625" customWidth="1"/>
    <col min="9" max="9" width="15" customWidth="1"/>
    <col min="10" max="10" width="19.33203125" customWidth="1"/>
    <col min="11" max="11" width="13.1640625" customWidth="1"/>
    <col min="12" max="12" width="15.33203125" customWidth="1"/>
    <col min="13" max="13" width="15.83203125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>
      <c r="A2" s="2"/>
      <c r="B2" s="4" t="s">
        <v>0</v>
      </c>
      <c r="C2" s="62" t="s">
        <v>59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7">
      <c r="A3" s="2"/>
      <c r="B3" s="7" t="s">
        <v>1</v>
      </c>
      <c r="C3" s="8">
        <v>0.05</v>
      </c>
      <c r="D3" s="38"/>
      <c r="E3" s="63" t="s">
        <v>2</v>
      </c>
      <c r="F3" s="64"/>
      <c r="G3" s="65"/>
      <c r="H3" s="38"/>
      <c r="I3" s="38"/>
      <c r="J3" s="38"/>
      <c r="K3" s="38"/>
      <c r="L3" s="38"/>
      <c r="M3" s="38"/>
      <c r="N3" s="38"/>
    </row>
    <row r="4" spans="1:14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  <c r="N4" s="38"/>
    </row>
    <row r="5" spans="1:14" ht="17">
      <c r="A5" s="2"/>
      <c r="B5" s="17" t="s">
        <v>4</v>
      </c>
      <c r="C5" s="67">
        <v>0.105</v>
      </c>
      <c r="D5" s="38"/>
      <c r="E5" s="71"/>
      <c r="F5" s="69"/>
      <c r="G5" s="70"/>
      <c r="H5" s="38"/>
      <c r="I5" s="38"/>
      <c r="J5" s="38"/>
      <c r="K5" s="38"/>
      <c r="L5" s="38"/>
      <c r="M5" s="38"/>
      <c r="N5" s="38"/>
    </row>
    <row r="6" spans="1:14" ht="17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  <c r="N6" s="38"/>
    </row>
    <row r="7" spans="1:14" ht="17">
      <c r="A7" s="2"/>
      <c r="B7" s="7" t="s">
        <v>7</v>
      </c>
      <c r="C7" s="100">
        <v>0.184</v>
      </c>
      <c r="D7" s="38"/>
      <c r="E7" s="73" t="s">
        <v>8</v>
      </c>
      <c r="F7" s="74" t="s">
        <v>9</v>
      </c>
      <c r="G7" s="75" t="s">
        <v>10</v>
      </c>
      <c r="H7" s="38"/>
      <c r="I7" s="38"/>
      <c r="J7" s="38"/>
      <c r="K7" s="38"/>
      <c r="L7" s="38"/>
      <c r="M7" s="38"/>
      <c r="N7" s="38"/>
    </row>
    <row r="8" spans="1:14" ht="15">
      <c r="A8" s="2"/>
      <c r="B8" s="24" t="s">
        <v>11</v>
      </c>
      <c r="C8" s="76">
        <v>0.03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38"/>
      <c r="J8" s="38"/>
      <c r="K8" s="38"/>
      <c r="L8" s="38"/>
      <c r="M8" s="38"/>
      <c r="N8" s="38"/>
    </row>
    <row r="9" spans="1:14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  <c r="N9" s="38"/>
    </row>
    <row r="10" spans="1:14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  <c r="N10" s="38"/>
    </row>
    <row r="11" spans="1:14" ht="17">
      <c r="A11" s="2"/>
      <c r="B11" s="7" t="s">
        <v>13</v>
      </c>
      <c r="C11" s="81">
        <v>156302</v>
      </c>
      <c r="D11" s="82">
        <f>C11*(1+C3)</f>
        <v>164117.1</v>
      </c>
      <c r="E11" s="82">
        <f>D11*(1+$C$3)</f>
        <v>172322.95500000002</v>
      </c>
      <c r="F11" s="82">
        <f>E11*(1+$C$3)</f>
        <v>180939.10275000002</v>
      </c>
      <c r="G11" s="82">
        <f>F11*(1+$C$3)</f>
        <v>189986.05788750004</v>
      </c>
      <c r="H11" s="82">
        <f>G11*(1+$C$3)</f>
        <v>199485.36078187503</v>
      </c>
      <c r="I11" s="82">
        <f>H11*(1+$C$8)</f>
        <v>205469.9216053313</v>
      </c>
      <c r="J11" s="82">
        <f>I11*(1+$C$8)</f>
        <v>211634.01925349125</v>
      </c>
      <c r="K11" s="82">
        <f>J11*(1+$C$8)</f>
        <v>217983.03983109599</v>
      </c>
      <c r="L11" s="82">
        <f>K11*(1+$C$8)</f>
        <v>224522.53102602888</v>
      </c>
      <c r="M11" s="82">
        <f>L11*(1+$C$8)</f>
        <v>231258.20695680976</v>
      </c>
      <c r="N11" s="38"/>
    </row>
    <row r="12" spans="1:14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3160528.8284097328</v>
      </c>
      <c r="N12" s="38"/>
    </row>
    <row r="13" spans="1:14" ht="19">
      <c r="A13" s="2"/>
      <c r="B13" s="35" t="s">
        <v>15</v>
      </c>
      <c r="C13" s="83"/>
      <c r="D13" s="82">
        <f t="shared" ref="D13:L13" si="0">D11</f>
        <v>164117.1</v>
      </c>
      <c r="E13" s="82">
        <f t="shared" si="0"/>
        <v>172322.95500000002</v>
      </c>
      <c r="F13" s="82">
        <f t="shared" si="0"/>
        <v>180939.10275000002</v>
      </c>
      <c r="G13" s="82">
        <f t="shared" si="0"/>
        <v>189986.05788750004</v>
      </c>
      <c r="H13" s="82">
        <f t="shared" si="0"/>
        <v>199485.36078187503</v>
      </c>
      <c r="I13" s="82">
        <f t="shared" si="0"/>
        <v>205469.9216053313</v>
      </c>
      <c r="J13" s="82">
        <f t="shared" si="0"/>
        <v>211634.01925349125</v>
      </c>
      <c r="K13" s="82">
        <f t="shared" si="0"/>
        <v>217983.03983109599</v>
      </c>
      <c r="L13" s="82">
        <f t="shared" si="0"/>
        <v>224522.53102602888</v>
      </c>
      <c r="M13" s="97">
        <f>M11+M12</f>
        <v>3391787.0353665426</v>
      </c>
      <c r="N13" s="38"/>
    </row>
    <row r="14" spans="1:14">
      <c r="A14" s="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  <c r="N15" s="38"/>
    </row>
    <row r="16" spans="1:14" ht="24" customHeight="1">
      <c r="A16" s="2"/>
      <c r="B16" s="456" t="s">
        <v>16</v>
      </c>
      <c r="C16" s="456"/>
      <c r="D16" s="86"/>
      <c r="E16" s="469" t="s">
        <v>17</v>
      </c>
      <c r="F16" s="470">
        <f>C22</f>
        <v>1095.7036121242925</v>
      </c>
      <c r="G16" s="470"/>
      <c r="H16" s="472"/>
      <c r="I16" s="101"/>
      <c r="J16" s="38"/>
      <c r="K16" s="38"/>
      <c r="L16" s="38"/>
      <c r="M16" s="38"/>
      <c r="N16" s="38"/>
    </row>
    <row r="17" spans="1:14" ht="17">
      <c r="A17" s="2"/>
      <c r="B17" s="41" t="s">
        <v>18</v>
      </c>
      <c r="C17" s="87">
        <f>NPV(C6,D13:M13)</f>
        <v>2410358.0303107309</v>
      </c>
      <c r="D17" s="86"/>
      <c r="E17" s="470"/>
      <c r="F17" s="470"/>
      <c r="G17" s="470"/>
      <c r="H17" s="473"/>
      <c r="I17" s="38"/>
      <c r="J17" s="38"/>
      <c r="K17" s="38"/>
      <c r="L17" s="38"/>
      <c r="M17" s="38"/>
      <c r="N17" s="38"/>
    </row>
    <row r="18" spans="1:14" ht="17">
      <c r="A18" s="2"/>
      <c r="B18" s="43" t="s">
        <v>19</v>
      </c>
      <c r="C18" s="88">
        <v>524470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7">
      <c r="A19" s="2"/>
      <c r="B19" s="43" t="s">
        <v>20</v>
      </c>
      <c r="C19" s="81">
        <v>195569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  <c r="N19" s="38"/>
    </row>
    <row r="20" spans="1:14" ht="15" customHeight="1">
      <c r="A20" s="2"/>
      <c r="B20" s="46" t="s">
        <v>21</v>
      </c>
      <c r="C20" s="29">
        <f>C17+C18-C19</f>
        <v>2739259.0303107309</v>
      </c>
      <c r="D20" s="90"/>
      <c r="E20" s="471" t="s">
        <v>22</v>
      </c>
      <c r="F20" s="474">
        <f>C23</f>
        <v>523.91</v>
      </c>
      <c r="G20" s="474"/>
      <c r="H20" s="38"/>
      <c r="I20" s="38"/>
      <c r="J20" s="38"/>
      <c r="K20" s="38"/>
      <c r="L20" s="38"/>
      <c r="M20" s="38"/>
      <c r="N20" s="38"/>
    </row>
    <row r="21" spans="1:14" ht="17">
      <c r="A21" s="2"/>
      <c r="B21" s="48" t="s">
        <v>23</v>
      </c>
      <c r="C21" s="99">
        <v>2500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  <c r="N21" s="38"/>
    </row>
    <row r="22" spans="1:14" ht="17">
      <c r="A22" s="50"/>
      <c r="B22" s="51" t="s">
        <v>24</v>
      </c>
      <c r="C22" s="92">
        <f>C20/C21</f>
        <v>1095.7036121242925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7">
      <c r="A23" s="2"/>
      <c r="B23" s="43" t="s">
        <v>25</v>
      </c>
      <c r="C23" s="93">
        <v>523.91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9">
      <c r="A24" s="2"/>
      <c r="B24" s="54" t="s">
        <v>26</v>
      </c>
      <c r="C24" s="94">
        <f>(C22-C23)/C23</f>
        <v>1.0913966370641761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</sheetData>
  <mergeCells count="7">
    <mergeCell ref="E6:G6"/>
    <mergeCell ref="B16:C16"/>
    <mergeCell ref="E16:E17"/>
    <mergeCell ref="E20:E21"/>
    <mergeCell ref="H16:H17"/>
    <mergeCell ref="F16:G17"/>
    <mergeCell ref="F20:G21"/>
  </mergeCells>
  <phoneticPr fontId="23" type="noConversion"/>
  <pageMargins left="0.75" right="0.75" top="1" bottom="1" header="0.5" footer="0.5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180D8-C0CC-2246-875E-DFD4D0DACA0B}">
  <dimension ref="A1:M63"/>
  <sheetViews>
    <sheetView zoomScale="119" workbookViewId="0">
      <selection activeCell="I31" sqref="I31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414" customWidth="1"/>
    <col min="4" max="4" width="12.5" style="414" customWidth="1"/>
    <col min="5" max="5" width="16" style="414" customWidth="1"/>
    <col min="6" max="6" width="21.33203125" style="414" bestFit="1" customWidth="1"/>
    <col min="7" max="7" width="18.6640625" style="414" customWidth="1"/>
    <col min="8" max="8" width="10.6640625" style="414" bestFit="1" customWidth="1"/>
    <col min="9" max="9" width="15.6640625" style="414" customWidth="1"/>
    <col min="10" max="12" width="10.6640625" style="414" bestFit="1" customWidth="1"/>
    <col min="13" max="13" width="14.83203125" style="414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206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1</v>
      </c>
      <c r="I3" s="12">
        <v>0.8</v>
      </c>
      <c r="J3" s="12">
        <v>0.5</v>
      </c>
      <c r="K3" s="12">
        <v>0.3</v>
      </c>
      <c r="L3" s="12">
        <v>0.15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>
        <v>884.81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15" t="s">
        <v>162</v>
      </c>
      <c r="F6" s="415"/>
      <c r="G6" s="41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16" t="s">
        <v>12</v>
      </c>
      <c r="C10" s="30">
        <v>2024</v>
      </c>
      <c r="D10" s="417">
        <v>2025</v>
      </c>
      <c r="E10" s="417">
        <v>2026</v>
      </c>
      <c r="F10" s="417">
        <v>2027</v>
      </c>
      <c r="G10" s="417">
        <v>2028</v>
      </c>
      <c r="H10" s="417">
        <v>2029</v>
      </c>
      <c r="I10" s="417">
        <v>2030</v>
      </c>
      <c r="J10" s="417">
        <v>2031</v>
      </c>
      <c r="K10" s="417">
        <v>2032</v>
      </c>
      <c r="L10" s="417">
        <v>2033</v>
      </c>
      <c r="M10" s="417">
        <v>2034</v>
      </c>
    </row>
    <row r="11" spans="1:13" ht="18" thickBot="1">
      <c r="A11" s="2"/>
      <c r="B11" s="7" t="s">
        <v>13</v>
      </c>
      <c r="C11" s="32">
        <v>133.47999999999999</v>
      </c>
      <c r="D11" s="33">
        <f>C11*(1+H3)</f>
        <v>266.95999999999998</v>
      </c>
      <c r="E11" s="33">
        <f>D11*(1+$I$3)</f>
        <v>480.52799999999996</v>
      </c>
      <c r="F11" s="33">
        <f>E11*(1+$J$3)</f>
        <v>720.79199999999992</v>
      </c>
      <c r="G11" s="33">
        <f>F11*(1+$K$3)</f>
        <v>937.02959999999996</v>
      </c>
      <c r="H11" s="33">
        <f>G11*(1+$L$3)</f>
        <v>1077.58404</v>
      </c>
      <c r="I11" s="33">
        <f>H11*(1+$C$8)</f>
        <v>1163.7907632000001</v>
      </c>
      <c r="J11" s="33">
        <f>I11*(1+$C$8)</f>
        <v>1256.8940242560002</v>
      </c>
      <c r="K11" s="33">
        <f>J11*(1+$C$8)</f>
        <v>1357.4455461964803</v>
      </c>
      <c r="L11" s="33">
        <f>K11*(1+$C$8)</f>
        <v>1466.0411898921989</v>
      </c>
      <c r="M11" s="33">
        <f>L11*(1+$C$8)</f>
        <v>1583.3244850835749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21638.767962808852</v>
      </c>
    </row>
    <row r="13" spans="1:13" ht="20" thickBot="1">
      <c r="A13" s="2"/>
      <c r="B13" s="35" t="s">
        <v>15</v>
      </c>
      <c r="C13" s="34"/>
      <c r="D13" s="33">
        <f t="shared" ref="D13:L13" si="0">D11</f>
        <v>266.95999999999998</v>
      </c>
      <c r="E13" s="33">
        <f t="shared" si="0"/>
        <v>480.52799999999996</v>
      </c>
      <c r="F13" s="33">
        <f t="shared" si="0"/>
        <v>720.79199999999992</v>
      </c>
      <c r="G13" s="33">
        <f t="shared" si="0"/>
        <v>937.02959999999996</v>
      </c>
      <c r="H13" s="33">
        <f t="shared" si="0"/>
        <v>1077.58404</v>
      </c>
      <c r="I13" s="33">
        <f t="shared" si="0"/>
        <v>1163.7907632000001</v>
      </c>
      <c r="J13" s="33">
        <f t="shared" si="0"/>
        <v>1256.8940242560002</v>
      </c>
      <c r="K13" s="33">
        <f t="shared" si="0"/>
        <v>1357.4455461964803</v>
      </c>
      <c r="L13" s="33">
        <f t="shared" si="0"/>
        <v>1466.0411898921989</v>
      </c>
      <c r="M13" s="60">
        <f>M11+M12</f>
        <v>23222.092447892428</v>
      </c>
    </row>
    <row r="14" spans="1:13" ht="15" thickBot="1">
      <c r="A14" s="2"/>
      <c r="B14" s="36" t="s">
        <v>35</v>
      </c>
      <c r="C14" s="37">
        <f>C11/J5</f>
        <v>0.15085724618844723</v>
      </c>
      <c r="D14" s="37">
        <f>C14*(1+$H$3)/(1+$H$4)</f>
        <v>0.23945594633086861</v>
      </c>
      <c r="E14" s="37">
        <f>D14*(1+$I$3)/(1+$I$4)</f>
        <v>0.35918391949630296</v>
      </c>
      <c r="F14" s="37">
        <f>E14*(1+$J$3)/(1+$J$4)</f>
        <v>0.44897989937037874</v>
      </c>
      <c r="G14" s="37">
        <f>F14*(1+$K$3)/(1+$K$4)</f>
        <v>0.48639489098457694</v>
      </c>
      <c r="H14" s="37">
        <f>G14*(1+$L$3)/(1+$L$4)</f>
        <v>0.46612843719355285</v>
      </c>
      <c r="I14" s="61">
        <f>H14*(1+$C$8)/(1+$J$8)</f>
        <v>0.4794463925419401</v>
      </c>
      <c r="J14" s="61">
        <f>I14*(1+$C$8)/(1+$J$8)</f>
        <v>0.49314486090028126</v>
      </c>
      <c r="K14" s="61">
        <f>J14*(1+$C$8)/(1+$J$8)</f>
        <v>0.50723471406886078</v>
      </c>
      <c r="L14" s="61">
        <f>K14*(1+$C$8)/(1+$J$8)</f>
        <v>0.5217271344708283</v>
      </c>
      <c r="M14" s="61">
        <f>L14*(1+$C$8)/(1+$J$8)</f>
        <v>0.53663362402713766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416" t="s">
        <v>16</v>
      </c>
      <c r="C16" s="417"/>
      <c r="D16" s="40"/>
      <c r="E16" s="418" t="s">
        <v>80</v>
      </c>
      <c r="F16" s="419">
        <f>C22</f>
        <v>138.32324396602809</v>
      </c>
      <c r="G16" s="419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14000.501688840613</v>
      </c>
      <c r="D17" s="40"/>
      <c r="E17" s="419"/>
      <c r="F17" s="419"/>
      <c r="G17" s="41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400.56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1537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417">
        <f>C17+C18-C19</f>
        <v>12864.061688840613</v>
      </c>
      <c r="D20" s="47"/>
      <c r="E20" s="420" t="s">
        <v>22</v>
      </c>
      <c r="F20" s="365">
        <f>C23</f>
        <v>68.05</v>
      </c>
      <c r="G20" s="421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93</v>
      </c>
      <c r="D21" s="47"/>
      <c r="E21" s="420"/>
      <c r="F21" s="421"/>
      <c r="G21" s="42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138.32324396602809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68.05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1.0326707416021763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915FF-97BC-0A4D-AEB5-EC723A2C1817}">
  <dimension ref="A1:M63"/>
  <sheetViews>
    <sheetView zoomScale="108" workbookViewId="0">
      <selection activeCell="D22" sqref="D22"/>
    </sheetView>
  </sheetViews>
  <sheetFormatPr baseColWidth="10" defaultColWidth="9" defaultRowHeight="14"/>
  <cols>
    <col min="1" max="1" width="37.5" customWidth="1"/>
    <col min="2" max="2" width="30.83203125" customWidth="1"/>
    <col min="3" max="3" width="30.5" style="414" customWidth="1"/>
    <col min="4" max="4" width="12.5" style="414" customWidth="1"/>
    <col min="5" max="5" width="16" style="414" customWidth="1"/>
    <col min="6" max="6" width="21.33203125" style="414" bestFit="1" customWidth="1"/>
    <col min="7" max="7" width="18.6640625" style="414" customWidth="1"/>
    <col min="8" max="8" width="10.6640625" style="414" bestFit="1" customWidth="1"/>
    <col min="9" max="9" width="15.6640625" style="414" customWidth="1"/>
    <col min="10" max="12" width="10.6640625" style="414" bestFit="1" customWidth="1"/>
    <col min="13" max="13" width="14.83203125" style="414" bestFit="1" customWidth="1"/>
  </cols>
  <sheetData>
    <row r="1" spans="1:13" ht="15" thickBot="1">
      <c r="A1" s="2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6" thickBot="1">
      <c r="A2" s="2"/>
      <c r="B2" s="4" t="s">
        <v>0</v>
      </c>
      <c r="C2" s="5" t="s">
        <v>207</v>
      </c>
      <c r="E2" s="6"/>
      <c r="F2" s="6"/>
      <c r="G2" s="6"/>
      <c r="H2" s="6"/>
      <c r="I2" s="6"/>
      <c r="J2" s="6"/>
      <c r="K2" s="6"/>
      <c r="L2" s="6"/>
      <c r="M2" s="6"/>
    </row>
    <row r="3" spans="1:13" ht="20" thickTop="1" thickBot="1">
      <c r="A3" s="2"/>
      <c r="B3" s="7" t="s">
        <v>1</v>
      </c>
      <c r="C3" s="8">
        <v>0.1</v>
      </c>
      <c r="D3" s="6"/>
      <c r="E3" s="9" t="s">
        <v>2</v>
      </c>
      <c r="F3" s="10"/>
      <c r="G3" s="11" t="s">
        <v>29</v>
      </c>
      <c r="H3" s="12">
        <v>0.3</v>
      </c>
      <c r="I3" s="12">
        <v>0.3</v>
      </c>
      <c r="J3" s="12">
        <v>0.25</v>
      </c>
      <c r="K3" s="12">
        <v>0.2</v>
      </c>
      <c r="L3" s="12">
        <v>0.15</v>
      </c>
      <c r="M3" s="6"/>
    </row>
    <row r="4" spans="1:13" ht="19" thickBot="1">
      <c r="A4" s="2"/>
      <c r="B4" s="7" t="s">
        <v>3</v>
      </c>
      <c r="C4" s="13">
        <v>2.5000000000000001E-2</v>
      </c>
      <c r="D4" s="6"/>
      <c r="E4" s="14"/>
      <c r="F4" s="15"/>
      <c r="G4" s="16" t="s">
        <v>30</v>
      </c>
      <c r="H4" s="12">
        <v>0.26</v>
      </c>
      <c r="I4" s="12">
        <v>0.2</v>
      </c>
      <c r="J4" s="12">
        <v>0.2</v>
      </c>
      <c r="K4" s="12">
        <v>0.2</v>
      </c>
      <c r="L4" s="12">
        <v>0.2</v>
      </c>
      <c r="M4" s="6"/>
    </row>
    <row r="5" spans="1:13" ht="17" customHeight="1" thickBot="1">
      <c r="A5" s="2"/>
      <c r="B5" s="17" t="s">
        <v>4</v>
      </c>
      <c r="C5" s="13">
        <v>0.1</v>
      </c>
      <c r="D5" s="6"/>
      <c r="E5" s="18"/>
      <c r="F5" s="15"/>
      <c r="G5" s="19"/>
      <c r="H5" s="6"/>
      <c r="I5" s="57" t="s">
        <v>31</v>
      </c>
      <c r="J5" s="384">
        <v>1153</v>
      </c>
      <c r="K5" s="6"/>
      <c r="L5" s="6"/>
      <c r="M5" s="6"/>
    </row>
    <row r="6" spans="1:13" ht="35" customHeight="1" thickBot="1">
      <c r="A6" s="2"/>
      <c r="B6" s="7" t="s">
        <v>5</v>
      </c>
      <c r="C6" s="13">
        <v>0.1</v>
      </c>
      <c r="D6" s="6"/>
      <c r="E6" s="415" t="s">
        <v>162</v>
      </c>
      <c r="F6" s="415"/>
      <c r="G6" s="415"/>
      <c r="H6" s="6"/>
      <c r="I6" s="6"/>
      <c r="J6" s="6"/>
      <c r="K6" s="6"/>
      <c r="L6" s="6"/>
      <c r="M6" s="6"/>
    </row>
    <row r="7" spans="1:13" ht="18" thickBot="1">
      <c r="A7" s="2"/>
      <c r="B7" s="7" t="s">
        <v>7</v>
      </c>
      <c r="C7" s="20">
        <v>0.20930000000000001</v>
      </c>
      <c r="D7" s="6"/>
      <c r="E7" s="21" t="s">
        <v>8</v>
      </c>
      <c r="F7" s="22" t="s">
        <v>9</v>
      </c>
      <c r="G7" s="23" t="s">
        <v>10</v>
      </c>
      <c r="H7" s="6"/>
      <c r="I7" s="58" t="s">
        <v>32</v>
      </c>
      <c r="J7" s="59">
        <v>0.3</v>
      </c>
      <c r="K7" s="6"/>
      <c r="L7" s="6"/>
      <c r="M7" s="6"/>
    </row>
    <row r="8" spans="1:13" ht="15" customHeight="1" thickBot="1">
      <c r="A8" s="2"/>
      <c r="B8" s="24" t="s">
        <v>11</v>
      </c>
      <c r="C8" s="25">
        <v>0.08</v>
      </c>
      <c r="D8" s="6"/>
      <c r="E8" s="26">
        <f>E4*5/C21</f>
        <v>0</v>
      </c>
      <c r="F8" s="27">
        <f>E4*8.5/C21</f>
        <v>0</v>
      </c>
      <c r="G8" s="28">
        <f>E4*12/C21</f>
        <v>0</v>
      </c>
      <c r="H8" s="6"/>
      <c r="I8" s="58" t="s">
        <v>33</v>
      </c>
      <c r="J8" s="59">
        <v>0.05</v>
      </c>
      <c r="K8" s="6"/>
      <c r="L8" s="6" t="s">
        <v>34</v>
      </c>
      <c r="M8" s="6"/>
    </row>
    <row r="9" spans="1:13" ht="15" thickBot="1">
      <c r="A9" s="2"/>
      <c r="B9" s="2"/>
      <c r="C9" s="3"/>
      <c r="D9" s="3"/>
      <c r="E9" s="3"/>
      <c r="F9" s="3"/>
      <c r="G9" s="3"/>
      <c r="H9" s="3"/>
      <c r="I9" s="6"/>
      <c r="J9" s="6"/>
      <c r="K9" s="6"/>
      <c r="L9" s="6"/>
      <c r="M9" s="6"/>
    </row>
    <row r="10" spans="1:13" ht="15" thickBot="1">
      <c r="A10" s="2"/>
      <c r="B10" s="416" t="s">
        <v>12</v>
      </c>
      <c r="C10" s="30">
        <v>2024</v>
      </c>
      <c r="D10" s="417">
        <v>2025</v>
      </c>
      <c r="E10" s="417">
        <v>2026</v>
      </c>
      <c r="F10" s="417">
        <v>2027</v>
      </c>
      <c r="G10" s="417">
        <v>2028</v>
      </c>
      <c r="H10" s="417">
        <v>2029</v>
      </c>
      <c r="I10" s="417">
        <v>2030</v>
      </c>
      <c r="J10" s="417">
        <v>2031</v>
      </c>
      <c r="K10" s="417">
        <v>2032</v>
      </c>
      <c r="L10" s="417">
        <v>2033</v>
      </c>
      <c r="M10" s="417">
        <v>2034</v>
      </c>
    </row>
    <row r="11" spans="1:13" ht="18" thickBot="1">
      <c r="A11" s="2"/>
      <c r="B11" s="7" t="s">
        <v>13</v>
      </c>
      <c r="C11" s="32">
        <v>131.29</v>
      </c>
      <c r="D11" s="33">
        <f>C11*(1+H3)</f>
        <v>170.67699999999999</v>
      </c>
      <c r="E11" s="33">
        <f>D11*(1+$I$3)</f>
        <v>221.8801</v>
      </c>
      <c r="F11" s="33">
        <f>E11*(1+$J$3)</f>
        <v>277.35012499999999</v>
      </c>
      <c r="G11" s="33">
        <f>F11*(1+$K$3)</f>
        <v>332.82014999999996</v>
      </c>
      <c r="H11" s="33">
        <f>G11*(1+$L$3)</f>
        <v>382.7431724999999</v>
      </c>
      <c r="I11" s="33">
        <f>H11*(1+$C$8)</f>
        <v>413.36262629999993</v>
      </c>
      <c r="J11" s="33">
        <f>I11*(1+$C$8)</f>
        <v>446.43163640399996</v>
      </c>
      <c r="K11" s="33">
        <f>J11*(1+$C$8)</f>
        <v>482.14616731631997</v>
      </c>
      <c r="L11" s="33">
        <f>K11*(1+$C$8)</f>
        <v>520.71786070162557</v>
      </c>
      <c r="M11" s="33">
        <f>L11*(1+$C$8)</f>
        <v>562.37528955775565</v>
      </c>
    </row>
    <row r="12" spans="1:13" ht="18" thickBot="1">
      <c r="A12" s="2"/>
      <c r="B12" s="17" t="s">
        <v>14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132">
        <f>M11*(1+C4)/(C6-C4)</f>
        <v>7685.7956239559917</v>
      </c>
    </row>
    <row r="13" spans="1:13" ht="20" thickBot="1">
      <c r="A13" s="2"/>
      <c r="B13" s="35" t="s">
        <v>15</v>
      </c>
      <c r="C13" s="34"/>
      <c r="D13" s="33">
        <f t="shared" ref="D13:L13" si="0">D11</f>
        <v>170.67699999999999</v>
      </c>
      <c r="E13" s="33">
        <f t="shared" si="0"/>
        <v>221.8801</v>
      </c>
      <c r="F13" s="33">
        <f t="shared" si="0"/>
        <v>277.35012499999999</v>
      </c>
      <c r="G13" s="33">
        <f t="shared" si="0"/>
        <v>332.82014999999996</v>
      </c>
      <c r="H13" s="33">
        <f t="shared" si="0"/>
        <v>382.7431724999999</v>
      </c>
      <c r="I13" s="33">
        <f t="shared" si="0"/>
        <v>413.36262629999993</v>
      </c>
      <c r="J13" s="33">
        <f t="shared" si="0"/>
        <v>446.43163640399996</v>
      </c>
      <c r="K13" s="33">
        <f t="shared" si="0"/>
        <v>482.14616731631997</v>
      </c>
      <c r="L13" s="33">
        <f t="shared" si="0"/>
        <v>520.71786070162557</v>
      </c>
      <c r="M13" s="60">
        <f>M11+M12</f>
        <v>8248.170913513748</v>
      </c>
    </row>
    <row r="14" spans="1:13" ht="15" thickBot="1">
      <c r="A14" s="2"/>
      <c r="B14" s="36" t="s">
        <v>35</v>
      </c>
      <c r="C14" s="37">
        <f>C11/J5</f>
        <v>0.11386816999132697</v>
      </c>
      <c r="D14" s="37">
        <f>C14*(1+$H$3)/(1+$H$4)</f>
        <v>0.11748303253073418</v>
      </c>
      <c r="E14" s="37">
        <f>D14*(1+$I$3)/(1+$I$4)</f>
        <v>0.1272732852416287</v>
      </c>
      <c r="F14" s="37">
        <f>E14*(1+$J$3)/(1+$J$4)</f>
        <v>0.13257633879336325</v>
      </c>
      <c r="G14" s="37">
        <f>F14*(1+$K$3)/(1+$K$4)</f>
        <v>0.13257633879336325</v>
      </c>
      <c r="H14" s="37">
        <f>G14*(1+$L$3)/(1+$L$4)</f>
        <v>0.12705232467697311</v>
      </c>
      <c r="I14" s="61">
        <f>H14*(1+$C$8)/(1+$J$8)</f>
        <v>0.13068239109631521</v>
      </c>
      <c r="J14" s="61">
        <f>I14*(1+$C$8)/(1+$J$8)</f>
        <v>0.13441617369906708</v>
      </c>
      <c r="K14" s="61">
        <f>J14*(1+$C$8)/(1+$J$8)</f>
        <v>0.13825663580475472</v>
      </c>
      <c r="L14" s="61">
        <f>K14*(1+$C$8)/(1+$J$8)</f>
        <v>0.14220682539917628</v>
      </c>
      <c r="M14" s="61">
        <f>L14*(1+$C$8)/(1+$J$8)</f>
        <v>0.14626987755343845</v>
      </c>
    </row>
    <row r="15" spans="1:13" ht="15" thickBot="1">
      <c r="A15" s="2"/>
      <c r="B15" s="38"/>
      <c r="C15" s="6"/>
      <c r="D15" s="6"/>
      <c r="E15" s="39"/>
      <c r="F15" s="39"/>
      <c r="G15" s="39"/>
      <c r="H15" s="6"/>
      <c r="I15" s="6"/>
      <c r="J15" s="6"/>
      <c r="K15" s="6"/>
      <c r="L15" s="6"/>
      <c r="M15" s="6"/>
    </row>
    <row r="16" spans="1:13" ht="15" customHeight="1" thickBot="1">
      <c r="A16" s="2"/>
      <c r="B16" s="416" t="s">
        <v>16</v>
      </c>
      <c r="C16" s="417"/>
      <c r="D16" s="40"/>
      <c r="E16" s="418" t="s">
        <v>80</v>
      </c>
      <c r="F16" s="419">
        <f>C22</f>
        <v>60.545246995036763</v>
      </c>
      <c r="G16" s="419"/>
      <c r="H16" s="6"/>
      <c r="I16" s="6"/>
      <c r="J16" s="6"/>
      <c r="K16" s="6"/>
      <c r="L16" s="6"/>
      <c r="M16" s="6"/>
    </row>
    <row r="17" spans="1:13" ht="18" customHeight="1" thickBot="1">
      <c r="A17" s="2"/>
      <c r="B17" s="41" t="s">
        <v>18</v>
      </c>
      <c r="C17" s="42">
        <f>NPV(C6,D13:M13)</f>
        <v>5100.0935246277568</v>
      </c>
      <c r="D17" s="40"/>
      <c r="E17" s="419"/>
      <c r="F17" s="419"/>
      <c r="G17" s="419"/>
      <c r="H17" s="6"/>
      <c r="I17" s="6"/>
      <c r="J17" s="6"/>
      <c r="K17" s="6"/>
      <c r="L17" s="6"/>
      <c r="M17" s="6"/>
    </row>
    <row r="18" spans="1:13" ht="18" thickBot="1">
      <c r="A18" s="2"/>
      <c r="B18" s="43" t="s">
        <v>19</v>
      </c>
      <c r="C18" s="44">
        <v>204.51</v>
      </c>
      <c r="D18" s="6"/>
      <c r="E18" s="6"/>
      <c r="F18" s="6"/>
      <c r="G18" s="6"/>
      <c r="H18" s="6"/>
      <c r="I18" s="6"/>
      <c r="J18" s="6"/>
      <c r="K18" s="6"/>
      <c r="L18" s="6"/>
      <c r="M18" s="6"/>
    </row>
    <row r="19" spans="1:13" ht="18" thickBot="1">
      <c r="A19" s="2"/>
      <c r="B19" s="43" t="s">
        <v>20</v>
      </c>
      <c r="C19" s="32">
        <v>763.71</v>
      </c>
      <c r="D19" s="6"/>
      <c r="E19" s="45"/>
      <c r="F19" s="45"/>
      <c r="G19" s="45"/>
      <c r="H19" s="6"/>
      <c r="I19" s="6"/>
      <c r="J19" s="6"/>
      <c r="K19" s="6"/>
      <c r="L19" s="6"/>
      <c r="M19" s="6"/>
    </row>
    <row r="20" spans="1:13" ht="18" customHeight="1" thickBot="1">
      <c r="A20" s="2"/>
      <c r="B20" s="46" t="s">
        <v>21</v>
      </c>
      <c r="C20" s="417">
        <f>C17+C18-C19</f>
        <v>4540.893524627757</v>
      </c>
      <c r="D20" s="47"/>
      <c r="E20" s="420" t="s">
        <v>22</v>
      </c>
      <c r="F20" s="365">
        <f>C23</f>
        <v>44.35</v>
      </c>
      <c r="G20" s="421"/>
      <c r="H20" s="6"/>
      <c r="I20" s="6"/>
      <c r="J20" s="6"/>
      <c r="K20" s="6"/>
      <c r="L20" s="6"/>
      <c r="M20" s="6"/>
    </row>
    <row r="21" spans="1:13" ht="18" customHeight="1" thickBot="1">
      <c r="A21" s="2"/>
      <c r="B21" s="48" t="s">
        <v>23</v>
      </c>
      <c r="C21" s="49">
        <v>75</v>
      </c>
      <c r="D21" s="47"/>
      <c r="E21" s="420"/>
      <c r="F21" s="421"/>
      <c r="G21" s="421"/>
      <c r="H21" s="6"/>
      <c r="I21" s="6"/>
      <c r="J21" s="6"/>
      <c r="K21" s="6"/>
      <c r="L21" s="6"/>
      <c r="M21" s="6"/>
    </row>
    <row r="22" spans="1:13" ht="18" thickBot="1">
      <c r="A22" s="50"/>
      <c r="B22" s="51" t="s">
        <v>24</v>
      </c>
      <c r="C22" s="52">
        <f>C20/C21</f>
        <v>60.545246995036763</v>
      </c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3" ht="18" thickBot="1">
      <c r="A23" s="2"/>
      <c r="B23" s="43" t="s">
        <v>25</v>
      </c>
      <c r="C23" s="53">
        <v>44.35</v>
      </c>
      <c r="D23" s="6"/>
      <c r="E23" s="6"/>
      <c r="F23" s="6"/>
      <c r="H23" s="6"/>
      <c r="I23" s="6"/>
      <c r="J23" s="6"/>
      <c r="K23" s="6"/>
      <c r="L23" s="6"/>
      <c r="M23" s="6"/>
    </row>
    <row r="24" spans="1:13" ht="20" thickBot="1">
      <c r="A24" s="2"/>
      <c r="B24" s="54" t="s">
        <v>26</v>
      </c>
      <c r="C24" s="55">
        <f>(C22-C23)/C23</f>
        <v>0.3651690416017308</v>
      </c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8" thickBot="1">
      <c r="A25" s="2"/>
      <c r="B25" s="56" t="s">
        <v>27</v>
      </c>
      <c r="C25" s="52" t="str">
        <f>IF(C24&gt;0,"BUY","SELL")</f>
        <v>BUY</v>
      </c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" thickBot="1">
      <c r="A26" s="2"/>
      <c r="B26" s="2"/>
      <c r="C26" s="3"/>
      <c r="D26" s="6"/>
      <c r="E26" s="6"/>
      <c r="F26" s="6"/>
      <c r="G26" s="6"/>
      <c r="H26" s="6"/>
      <c r="I26" s="6"/>
      <c r="J26" s="6"/>
      <c r="K26" s="6"/>
      <c r="L26" s="6"/>
      <c r="M26" s="6"/>
    </row>
    <row r="29" spans="1:13" ht="14" customHeight="1">
      <c r="F29" s="385"/>
    </row>
    <row r="30" spans="1:13">
      <c r="F30" s="385"/>
    </row>
    <row r="31" spans="1:13">
      <c r="F31" s="385"/>
    </row>
    <row r="32" spans="1:13">
      <c r="F32" s="385"/>
    </row>
    <row r="33" spans="6:8">
      <c r="F33" s="385"/>
    </row>
    <row r="34" spans="6:8">
      <c r="F34" s="385"/>
    </row>
    <row r="35" spans="6:8">
      <c r="F35" s="385"/>
    </row>
    <row r="36" spans="6:8">
      <c r="F36" s="385"/>
      <c r="H36" s="269" t="s">
        <v>139</v>
      </c>
    </row>
    <row r="37" spans="6:8">
      <c r="F37" s="385"/>
    </row>
    <row r="38" spans="6:8">
      <c r="F38" s="385"/>
    </row>
    <row r="39" spans="6:8">
      <c r="F39" s="385"/>
    </row>
    <row r="40" spans="6:8">
      <c r="F40" s="385"/>
    </row>
    <row r="41" spans="6:8">
      <c r="F41" s="385"/>
    </row>
    <row r="42" spans="6:8">
      <c r="F42" s="385"/>
    </row>
    <row r="43" spans="6:8">
      <c r="F43" s="385"/>
    </row>
    <row r="44" spans="6:8">
      <c r="F44" s="385"/>
    </row>
    <row r="45" spans="6:8">
      <c r="F45" s="385"/>
    </row>
    <row r="46" spans="6:8">
      <c r="F46" s="385"/>
    </row>
    <row r="47" spans="6:8">
      <c r="F47" s="385"/>
    </row>
    <row r="48" spans="6:8">
      <c r="F48" s="385"/>
    </row>
    <row r="49" spans="6:6">
      <c r="F49" s="385"/>
    </row>
    <row r="50" spans="6:6">
      <c r="F50" s="385"/>
    </row>
    <row r="51" spans="6:6">
      <c r="F51" s="385"/>
    </row>
    <row r="52" spans="6:6">
      <c r="F52" s="385"/>
    </row>
    <row r="53" spans="6:6">
      <c r="F53" s="385"/>
    </row>
    <row r="54" spans="6:6">
      <c r="F54" s="385"/>
    </row>
    <row r="55" spans="6:6">
      <c r="F55" s="385"/>
    </row>
    <row r="56" spans="6:6">
      <c r="F56" s="385"/>
    </row>
    <row r="57" spans="6:6">
      <c r="F57" s="385"/>
    </row>
    <row r="58" spans="6:6">
      <c r="F58" s="385"/>
    </row>
    <row r="59" spans="6:6">
      <c r="F59" s="385"/>
    </row>
    <row r="60" spans="6:6">
      <c r="F60" s="385"/>
    </row>
    <row r="61" spans="6:6">
      <c r="F61" s="385"/>
    </row>
    <row r="62" spans="6:6">
      <c r="F62" s="385"/>
    </row>
    <row r="63" spans="6:6">
      <c r="F63" s="385"/>
    </row>
  </sheetData>
  <phoneticPr fontId="23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7B319-E26A-4642-B596-6778520C92F8}">
  <dimension ref="A1:E112"/>
  <sheetViews>
    <sheetView topLeftCell="A3" zoomScale="125" workbookViewId="0">
      <selection activeCell="G26" sqref="G26"/>
    </sheetView>
  </sheetViews>
  <sheetFormatPr baseColWidth="10" defaultRowHeight="14"/>
  <cols>
    <col min="1" max="1" width="44.5" customWidth="1"/>
    <col min="2" max="2" width="48" customWidth="1"/>
    <col min="3" max="3" width="49.1640625" customWidth="1"/>
    <col min="4" max="4" width="12.5" bestFit="1" customWidth="1"/>
    <col min="5" max="5" width="14.6640625" bestFit="1" customWidth="1"/>
  </cols>
  <sheetData>
    <row r="1" spans="1:5" ht="15" thickBot="1">
      <c r="A1" s="386" t="s">
        <v>163</v>
      </c>
      <c r="B1" s="386" t="s">
        <v>164</v>
      </c>
      <c r="C1" s="387" t="s">
        <v>165</v>
      </c>
      <c r="D1" s="385"/>
      <c r="E1" s="385"/>
    </row>
    <row r="2" spans="1:5" ht="26" customHeight="1" thickBot="1">
      <c r="A2" s="34" t="s">
        <v>191</v>
      </c>
      <c r="B2" s="32">
        <v>2025</v>
      </c>
      <c r="C2" s="102" t="s">
        <v>166</v>
      </c>
      <c r="D2" s="385"/>
      <c r="E2" s="385"/>
    </row>
    <row r="3" spans="1:5" ht="19" customHeight="1" thickBot="1">
      <c r="A3" s="34" t="s">
        <v>192</v>
      </c>
      <c r="B3" s="32">
        <v>1848</v>
      </c>
      <c r="C3" s="102" t="s">
        <v>167</v>
      </c>
      <c r="D3" s="385"/>
      <c r="E3" s="385"/>
    </row>
    <row r="4" spans="1:5" ht="24" customHeight="1" thickBot="1">
      <c r="A4" s="34" t="s">
        <v>193</v>
      </c>
      <c r="B4" s="13">
        <v>0.13</v>
      </c>
      <c r="C4" s="102" t="s">
        <v>168</v>
      </c>
      <c r="D4" s="385"/>
      <c r="E4" s="385"/>
    </row>
    <row r="5" spans="1:5" ht="21" customHeight="1" thickBot="1">
      <c r="A5" s="34" t="s">
        <v>194</v>
      </c>
      <c r="B5" s="32">
        <v>5</v>
      </c>
      <c r="C5" s="102" t="s">
        <v>169</v>
      </c>
      <c r="D5" s="385"/>
      <c r="E5" s="385"/>
    </row>
    <row r="6" spans="1:5" ht="25" customHeight="1" thickBot="1">
      <c r="A6" s="34" t="s">
        <v>195</v>
      </c>
      <c r="B6" s="13">
        <v>0.1</v>
      </c>
      <c r="C6" s="102" t="s">
        <v>170</v>
      </c>
      <c r="D6" s="385"/>
      <c r="E6" s="385"/>
    </row>
    <row r="7" spans="1:5" ht="27" customHeight="1" thickBot="1">
      <c r="A7" s="34" t="s">
        <v>196</v>
      </c>
      <c r="B7" s="13">
        <v>0.1</v>
      </c>
      <c r="C7" s="102" t="s">
        <v>171</v>
      </c>
      <c r="D7" s="385"/>
      <c r="E7" s="385"/>
    </row>
    <row r="8" spans="1:5" ht="22" customHeight="1" thickBot="1">
      <c r="A8" s="34" t="s">
        <v>197</v>
      </c>
      <c r="B8" s="32">
        <v>11</v>
      </c>
      <c r="C8" s="102" t="s">
        <v>172</v>
      </c>
      <c r="D8" s="385"/>
      <c r="E8" s="385"/>
    </row>
    <row r="9" spans="1:5" ht="23" customHeight="1" thickBot="1">
      <c r="A9" s="34" t="s">
        <v>198</v>
      </c>
      <c r="B9" s="32">
        <v>86.77</v>
      </c>
      <c r="C9" s="102" t="s">
        <v>173</v>
      </c>
      <c r="D9" s="385"/>
      <c r="E9" s="385"/>
    </row>
    <row r="10" spans="1:5" ht="19" customHeight="1" thickBot="1">
      <c r="A10" s="34" t="s">
        <v>199</v>
      </c>
      <c r="B10" s="32">
        <v>108</v>
      </c>
      <c r="C10" s="102" t="s">
        <v>175</v>
      </c>
      <c r="D10" s="385"/>
      <c r="E10" s="385"/>
    </row>
    <row r="11" spans="1:5">
      <c r="A11" s="385"/>
      <c r="B11" s="385"/>
      <c r="C11" s="388"/>
      <c r="D11" s="385"/>
      <c r="E11" s="385"/>
    </row>
    <row r="12" spans="1:5" ht="15" thickBot="1">
      <c r="A12" s="385"/>
      <c r="B12" s="385"/>
      <c r="C12" s="388"/>
      <c r="D12" s="385"/>
      <c r="E12" s="385"/>
    </row>
    <row r="13" spans="1:5" ht="29" thickBot="1">
      <c r="A13" s="34" t="s">
        <v>107</v>
      </c>
      <c r="B13" s="34" t="s">
        <v>96</v>
      </c>
      <c r="C13" s="34" t="s">
        <v>176</v>
      </c>
      <c r="D13" s="34" t="s">
        <v>177</v>
      </c>
      <c r="E13" s="34" t="s">
        <v>178</v>
      </c>
    </row>
    <row r="14" spans="1:5" ht="15" thickBot="1">
      <c r="A14" s="34">
        <f>B2+0</f>
        <v>2025</v>
      </c>
      <c r="B14" s="34">
        <f>B3</f>
        <v>1848</v>
      </c>
      <c r="C14" s="34">
        <f>B14*B7</f>
        <v>184.8</v>
      </c>
      <c r="D14" s="34">
        <f>1/(1+B6)^(A14-B2)</f>
        <v>1</v>
      </c>
      <c r="E14" s="34">
        <f t="shared" ref="E14:E19" si="0">C14*D14</f>
        <v>184.8</v>
      </c>
    </row>
    <row r="15" spans="1:5" ht="15" thickBot="1">
      <c r="A15" s="34">
        <f>B2+1</f>
        <v>2026</v>
      </c>
      <c r="B15" s="34">
        <f>B14*(1+B4)</f>
        <v>2088.2399999999998</v>
      </c>
      <c r="C15" s="34">
        <f>B15*B7</f>
        <v>208.82399999999998</v>
      </c>
      <c r="D15" s="34">
        <f>1/(1+B6)^(A15-B2)</f>
        <v>0.90909090909090906</v>
      </c>
      <c r="E15" s="34">
        <f t="shared" si="0"/>
        <v>189.83999999999997</v>
      </c>
    </row>
    <row r="16" spans="1:5" ht="15" thickBot="1">
      <c r="A16" s="34">
        <f>B2+2</f>
        <v>2027</v>
      </c>
      <c r="B16" s="405">
        <f>B15*(1+B4)</f>
        <v>2359.7111999999997</v>
      </c>
      <c r="C16" s="405">
        <f>B16*B7</f>
        <v>235.97111999999998</v>
      </c>
      <c r="D16" s="34">
        <f>1/(1+B6)^(A16-B2)</f>
        <v>0.82644628099173545</v>
      </c>
      <c r="E16" s="34">
        <f t="shared" si="0"/>
        <v>195.01745454545451</v>
      </c>
    </row>
    <row r="17" spans="1:5" ht="15" thickBot="1">
      <c r="A17" s="34">
        <f>B2+3</f>
        <v>2028</v>
      </c>
      <c r="B17" s="405">
        <f>B16*(1+B4)</f>
        <v>2666.4736559999997</v>
      </c>
      <c r="C17" s="405">
        <f>B17*B7</f>
        <v>266.6473656</v>
      </c>
      <c r="D17" s="34">
        <f>1/(1+B6)^(A17-B2)</f>
        <v>0.75131480090157754</v>
      </c>
      <c r="E17" s="34">
        <f t="shared" si="0"/>
        <v>200.33611239669415</v>
      </c>
    </row>
    <row r="18" spans="1:5" ht="15" thickBot="1">
      <c r="A18" s="34">
        <f>B2+4</f>
        <v>2029</v>
      </c>
      <c r="B18" s="405">
        <f>B17*(1+B4)</f>
        <v>3013.1152312799995</v>
      </c>
      <c r="C18" s="405">
        <f>B18*B7</f>
        <v>301.31152312799998</v>
      </c>
      <c r="D18" s="34">
        <f>1/(1+B6)^(A18-B2)</f>
        <v>0.68301345536507052</v>
      </c>
      <c r="E18" s="34">
        <f t="shared" si="0"/>
        <v>205.79982455296764</v>
      </c>
    </row>
    <row r="19" spans="1:5" ht="15" thickBot="1">
      <c r="A19" s="34">
        <f>B2+5</f>
        <v>2030</v>
      </c>
      <c r="B19" s="405">
        <f>B18*(1+B4)</f>
        <v>3404.820211346399</v>
      </c>
      <c r="C19" s="405">
        <f>B19*B7</f>
        <v>340.48202113463992</v>
      </c>
      <c r="D19" s="34">
        <f>1/(1+B6)^(A19-B2)</f>
        <v>0.62092132305915493</v>
      </c>
      <c r="E19" s="34">
        <f t="shared" si="0"/>
        <v>211.41254704077576</v>
      </c>
    </row>
    <row r="20" spans="1:5">
      <c r="A20" s="385"/>
      <c r="B20" s="385"/>
      <c r="C20" s="388"/>
      <c r="D20" s="385"/>
      <c r="E20" s="385"/>
    </row>
    <row r="21" spans="1:5" ht="15" thickBot="1">
      <c r="A21" s="385"/>
      <c r="B21" s="385"/>
      <c r="C21" s="388"/>
      <c r="D21" s="385"/>
      <c r="E21" s="385"/>
    </row>
    <row r="22" spans="1:5" ht="18" thickBot="1">
      <c r="A22" s="386" t="s">
        <v>179</v>
      </c>
      <c r="B22" s="386" t="s">
        <v>180</v>
      </c>
      <c r="C22" s="388"/>
      <c r="D22" s="51" t="s">
        <v>200</v>
      </c>
      <c r="E22" s="52">
        <f>B30</f>
        <v>225.51681586130763</v>
      </c>
    </row>
    <row r="23" spans="1:5" ht="30" customHeight="1" thickTop="1" thickBot="1">
      <c r="A23" s="34" t="s">
        <v>181</v>
      </c>
      <c r="B23" s="34">
        <f>SUM(E14:E19)</f>
        <v>1187.2059385358921</v>
      </c>
      <c r="C23" s="388"/>
      <c r="D23" s="43" t="s">
        <v>25</v>
      </c>
      <c r="E23" s="53">
        <v>195.19</v>
      </c>
    </row>
    <row r="24" spans="1:5" ht="25" customHeight="1" thickBot="1">
      <c r="A24" s="34" t="s">
        <v>182</v>
      </c>
      <c r="B24" s="34">
        <f>B19*B8</f>
        <v>37453.022324810387</v>
      </c>
      <c r="C24" s="388"/>
      <c r="D24" s="54" t="s">
        <v>26</v>
      </c>
      <c r="E24" s="55">
        <f>(E22-E23)/E23</f>
        <v>0.15537074574162424</v>
      </c>
    </row>
    <row r="25" spans="1:5" ht="20" customHeight="1" thickBot="1">
      <c r="A25" s="34" t="s">
        <v>183</v>
      </c>
      <c r="B25" s="34">
        <f>B24/(1+B6)^B5</f>
        <v>23255.380174485334</v>
      </c>
      <c r="C25" s="388"/>
      <c r="D25" s="56" t="s">
        <v>27</v>
      </c>
      <c r="E25" s="52" t="str">
        <f>IF(E24&gt;0,"BUY","SELL")</f>
        <v>BUY</v>
      </c>
    </row>
    <row r="26" spans="1:5" ht="19" customHeight="1" thickBot="1">
      <c r="A26" s="34" t="s">
        <v>184</v>
      </c>
      <c r="B26" s="34">
        <f>B23+B25</f>
        <v>24442.586113021225</v>
      </c>
      <c r="C26" s="388"/>
      <c r="D26" s="385"/>
      <c r="E26" s="385"/>
    </row>
    <row r="27" spans="1:5" ht="20" customHeight="1" thickBot="1">
      <c r="A27" s="34" t="s">
        <v>185</v>
      </c>
      <c r="B27" s="34">
        <f>B9</f>
        <v>86.77</v>
      </c>
      <c r="C27" s="388"/>
      <c r="D27" s="385"/>
      <c r="E27" s="385"/>
    </row>
    <row r="28" spans="1:5" ht="15" thickBot="1">
      <c r="A28" s="34" t="s">
        <v>186</v>
      </c>
      <c r="B28" s="34">
        <f>B26-B27</f>
        <v>24355.816113021225</v>
      </c>
      <c r="C28" s="388"/>
      <c r="D28" s="385"/>
      <c r="E28" s="385"/>
    </row>
    <row r="29" spans="1:5" ht="20" customHeight="1" thickBot="1">
      <c r="A29" s="34" t="s">
        <v>174</v>
      </c>
      <c r="B29" s="34">
        <f>B10</f>
        <v>108</v>
      </c>
      <c r="C29" s="388"/>
      <c r="D29" s="385"/>
      <c r="E29" s="385"/>
    </row>
    <row r="30" spans="1:5" ht="22" customHeight="1" thickBot="1">
      <c r="A30" s="34" t="s">
        <v>187</v>
      </c>
      <c r="B30" s="34">
        <f>B28/B29</f>
        <v>225.51681586130763</v>
      </c>
      <c r="C30" s="388"/>
      <c r="D30" s="385"/>
      <c r="E30" s="385"/>
    </row>
    <row r="31" spans="1:5" ht="15" thickBot="1">
      <c r="A31" s="385"/>
      <c r="B31" s="385"/>
      <c r="C31" s="388"/>
      <c r="D31" s="385"/>
      <c r="E31" s="385"/>
    </row>
    <row r="32" spans="1:5" ht="40" customHeight="1" thickBot="1">
      <c r="A32" s="34" t="s">
        <v>188</v>
      </c>
      <c r="B32" s="7">
        <f>B3*B8</f>
        <v>20328</v>
      </c>
      <c r="C32" s="388"/>
      <c r="D32" s="51" t="s">
        <v>200</v>
      </c>
      <c r="E32" s="52">
        <f>B34</f>
        <v>187.41879629629628</v>
      </c>
    </row>
    <row r="33" spans="1:5" ht="22" customHeight="1" thickBot="1">
      <c r="A33" s="34" t="s">
        <v>189</v>
      </c>
      <c r="B33" s="7">
        <f>B32-B9</f>
        <v>20241.23</v>
      </c>
      <c r="C33" s="388"/>
      <c r="D33" s="43" t="s">
        <v>25</v>
      </c>
      <c r="E33" s="53">
        <f>E23</f>
        <v>195.19</v>
      </c>
    </row>
    <row r="34" spans="1:5" ht="20" customHeight="1" thickBot="1">
      <c r="A34" s="34" t="s">
        <v>190</v>
      </c>
      <c r="B34" s="7">
        <f>B33/B10</f>
        <v>187.41879629629628</v>
      </c>
      <c r="C34" s="388"/>
      <c r="D34" s="54" t="s">
        <v>26</v>
      </c>
      <c r="E34" s="55">
        <f>(E32-E33)/E33</f>
        <v>-3.9813534011495053E-2</v>
      </c>
    </row>
    <row r="35" spans="1:5" ht="18" thickBot="1">
      <c r="A35" s="388"/>
      <c r="B35" s="385"/>
      <c r="C35" s="388"/>
      <c r="D35" s="56" t="s">
        <v>27</v>
      </c>
      <c r="E35" s="52" t="str">
        <f>IF(E34&gt;0,"BUY","SELL")</f>
        <v>SELL</v>
      </c>
    </row>
    <row r="36" spans="1:5">
      <c r="C36" s="376"/>
      <c r="D36" s="376"/>
      <c r="E36" s="376"/>
    </row>
    <row r="37" spans="1:5">
      <c r="C37" s="376"/>
      <c r="D37" s="376"/>
      <c r="E37" s="376"/>
    </row>
    <row r="38" spans="1:5">
      <c r="C38" s="376"/>
      <c r="D38" s="376"/>
      <c r="E38" s="376"/>
    </row>
    <row r="39" spans="1:5">
      <c r="C39" s="376"/>
      <c r="D39" s="376"/>
      <c r="E39" s="376"/>
    </row>
    <row r="40" spans="1:5">
      <c r="C40" s="376"/>
      <c r="D40" s="376"/>
      <c r="E40" s="376"/>
    </row>
    <row r="41" spans="1:5">
      <c r="C41" s="376"/>
      <c r="D41" s="376"/>
      <c r="E41" s="376"/>
    </row>
    <row r="42" spans="1:5">
      <c r="C42" s="376"/>
      <c r="D42" s="376"/>
      <c r="E42" s="376"/>
    </row>
    <row r="43" spans="1:5">
      <c r="C43" s="376"/>
      <c r="D43" s="376"/>
      <c r="E43" s="376"/>
    </row>
    <row r="44" spans="1:5">
      <c r="C44" s="376"/>
      <c r="D44" s="376"/>
      <c r="E44" s="376"/>
    </row>
    <row r="45" spans="1:5">
      <c r="C45" s="376"/>
      <c r="D45" s="376"/>
      <c r="E45" s="376"/>
    </row>
    <row r="46" spans="1:5">
      <c r="C46" s="376"/>
      <c r="D46" s="376"/>
      <c r="E46" s="376"/>
    </row>
    <row r="47" spans="1:5">
      <c r="C47" s="376"/>
      <c r="D47" s="376"/>
      <c r="E47" s="376"/>
    </row>
    <row r="48" spans="1:5">
      <c r="C48" s="376"/>
      <c r="D48" s="376"/>
      <c r="E48" s="376"/>
    </row>
    <row r="49" spans="3:5">
      <c r="C49" s="376"/>
      <c r="D49" s="376"/>
      <c r="E49" s="376"/>
    </row>
    <row r="50" spans="3:5">
      <c r="C50" s="376"/>
      <c r="D50" s="376"/>
      <c r="E50" s="376"/>
    </row>
    <row r="51" spans="3:5">
      <c r="C51" s="376"/>
      <c r="D51" s="376"/>
      <c r="E51" s="376"/>
    </row>
    <row r="52" spans="3:5">
      <c r="C52" s="376"/>
      <c r="D52" s="376"/>
      <c r="E52" s="376"/>
    </row>
    <row r="53" spans="3:5">
      <c r="C53" s="376"/>
      <c r="D53" s="376"/>
      <c r="E53" s="376"/>
    </row>
    <row r="54" spans="3:5">
      <c r="C54" s="376"/>
      <c r="D54" s="376"/>
      <c r="E54" s="376"/>
    </row>
    <row r="55" spans="3:5">
      <c r="C55" s="376"/>
      <c r="D55" s="376"/>
      <c r="E55" s="376"/>
    </row>
    <row r="56" spans="3:5">
      <c r="C56" s="376"/>
      <c r="D56" s="376"/>
      <c r="E56" s="376"/>
    </row>
    <row r="57" spans="3:5">
      <c r="C57" s="376"/>
      <c r="D57" s="376"/>
      <c r="E57" s="376"/>
    </row>
    <row r="58" spans="3:5">
      <c r="C58" s="376"/>
      <c r="D58" s="376"/>
      <c r="E58" s="376"/>
    </row>
    <row r="59" spans="3:5">
      <c r="C59" s="376"/>
      <c r="D59" s="376"/>
      <c r="E59" s="376"/>
    </row>
    <row r="60" spans="3:5">
      <c r="C60" s="376"/>
      <c r="D60" s="376"/>
      <c r="E60" s="376"/>
    </row>
    <row r="61" spans="3:5">
      <c r="C61" s="376"/>
      <c r="D61" s="376"/>
      <c r="E61" s="376"/>
    </row>
    <row r="62" spans="3:5">
      <c r="C62" s="376"/>
      <c r="D62" s="376"/>
      <c r="E62" s="376"/>
    </row>
    <row r="63" spans="3:5">
      <c r="C63" s="376"/>
      <c r="D63" s="376"/>
      <c r="E63" s="376"/>
    </row>
    <row r="64" spans="3:5">
      <c r="C64" s="376"/>
      <c r="D64" s="376"/>
      <c r="E64" s="376"/>
    </row>
    <row r="65" spans="3:5">
      <c r="C65" s="376"/>
      <c r="D65" s="376"/>
      <c r="E65" s="376"/>
    </row>
    <row r="66" spans="3:5">
      <c r="C66" s="376"/>
      <c r="D66" s="376"/>
      <c r="E66" s="376"/>
    </row>
    <row r="67" spans="3:5">
      <c r="C67" s="376"/>
      <c r="D67" s="376"/>
      <c r="E67" s="376"/>
    </row>
    <row r="68" spans="3:5">
      <c r="C68" s="376"/>
      <c r="D68" s="376"/>
      <c r="E68" s="376"/>
    </row>
    <row r="69" spans="3:5">
      <c r="C69" s="376"/>
      <c r="D69" s="376"/>
      <c r="E69" s="376"/>
    </row>
    <row r="70" spans="3:5">
      <c r="C70" s="376"/>
      <c r="D70" s="376"/>
      <c r="E70" s="376"/>
    </row>
    <row r="71" spans="3:5">
      <c r="C71" s="376"/>
      <c r="D71" s="376"/>
      <c r="E71" s="376"/>
    </row>
    <row r="72" spans="3:5">
      <c r="C72" s="376"/>
      <c r="D72" s="376"/>
      <c r="E72" s="376"/>
    </row>
    <row r="73" spans="3:5">
      <c r="C73" s="376"/>
      <c r="D73" s="376"/>
      <c r="E73" s="376"/>
    </row>
    <row r="74" spans="3:5">
      <c r="C74" s="376"/>
      <c r="D74" s="376"/>
      <c r="E74" s="376"/>
    </row>
    <row r="75" spans="3:5">
      <c r="C75" s="376"/>
      <c r="D75" s="376"/>
      <c r="E75" s="376"/>
    </row>
    <row r="76" spans="3:5">
      <c r="C76" s="376"/>
      <c r="D76" s="376"/>
      <c r="E76" s="376"/>
    </row>
    <row r="77" spans="3:5">
      <c r="C77" s="376"/>
      <c r="D77" s="376"/>
      <c r="E77" s="376"/>
    </row>
    <row r="78" spans="3:5">
      <c r="C78" s="376"/>
      <c r="D78" s="376"/>
      <c r="E78" s="376"/>
    </row>
    <row r="79" spans="3:5">
      <c r="C79" s="376"/>
      <c r="D79" s="376"/>
      <c r="E79" s="376"/>
    </row>
    <row r="80" spans="3:5">
      <c r="C80" s="376"/>
      <c r="D80" s="376"/>
      <c r="E80" s="376"/>
    </row>
    <row r="81" spans="3:5">
      <c r="C81" s="376"/>
      <c r="D81" s="376"/>
      <c r="E81" s="376"/>
    </row>
    <row r="82" spans="3:5">
      <c r="C82" s="376"/>
      <c r="D82" s="376"/>
      <c r="E82" s="376"/>
    </row>
    <row r="83" spans="3:5">
      <c r="C83" s="376"/>
      <c r="D83" s="376"/>
      <c r="E83" s="376"/>
    </row>
    <row r="84" spans="3:5">
      <c r="C84" s="376"/>
      <c r="D84" s="376"/>
      <c r="E84" s="376"/>
    </row>
    <row r="85" spans="3:5">
      <c r="C85" s="376"/>
      <c r="D85" s="376"/>
      <c r="E85" s="376"/>
    </row>
    <row r="86" spans="3:5">
      <c r="C86" s="376"/>
      <c r="D86" s="376"/>
      <c r="E86" s="376"/>
    </row>
    <row r="87" spans="3:5">
      <c r="C87" s="376"/>
      <c r="D87" s="376"/>
      <c r="E87" s="376"/>
    </row>
    <row r="88" spans="3:5">
      <c r="C88" s="376"/>
      <c r="D88" s="376"/>
      <c r="E88" s="376"/>
    </row>
    <row r="89" spans="3:5">
      <c r="C89" s="376"/>
      <c r="D89" s="376"/>
      <c r="E89" s="376"/>
    </row>
    <row r="90" spans="3:5">
      <c r="C90" s="376"/>
      <c r="D90" s="376"/>
      <c r="E90" s="376"/>
    </row>
    <row r="91" spans="3:5">
      <c r="C91" s="376"/>
      <c r="D91" s="376"/>
      <c r="E91" s="376"/>
    </row>
    <row r="92" spans="3:5">
      <c r="C92" s="376"/>
      <c r="D92" s="376"/>
      <c r="E92" s="376"/>
    </row>
    <row r="93" spans="3:5">
      <c r="C93" s="376"/>
      <c r="D93" s="376"/>
      <c r="E93" s="376"/>
    </row>
    <row r="94" spans="3:5">
      <c r="C94" s="376"/>
      <c r="D94" s="376"/>
      <c r="E94" s="376"/>
    </row>
    <row r="95" spans="3:5">
      <c r="C95" s="376"/>
      <c r="D95" s="376"/>
      <c r="E95" s="376"/>
    </row>
    <row r="96" spans="3:5">
      <c r="C96" s="376"/>
      <c r="D96" s="376"/>
      <c r="E96" s="376"/>
    </row>
    <row r="97" spans="3:5">
      <c r="C97" s="376"/>
      <c r="D97" s="376"/>
      <c r="E97" s="376"/>
    </row>
    <row r="98" spans="3:5">
      <c r="C98" s="376"/>
      <c r="D98" s="376"/>
      <c r="E98" s="376"/>
    </row>
    <row r="99" spans="3:5">
      <c r="C99" s="376"/>
      <c r="D99" s="376"/>
      <c r="E99" s="376"/>
    </row>
    <row r="100" spans="3:5">
      <c r="C100" s="376"/>
      <c r="D100" s="376"/>
      <c r="E100" s="376"/>
    </row>
    <row r="101" spans="3:5">
      <c r="C101" s="376"/>
      <c r="D101" s="376"/>
      <c r="E101" s="376"/>
    </row>
    <row r="102" spans="3:5">
      <c r="C102" s="376"/>
      <c r="D102" s="376"/>
      <c r="E102" s="376"/>
    </row>
    <row r="103" spans="3:5">
      <c r="C103" s="376"/>
      <c r="D103" s="376"/>
      <c r="E103" s="376"/>
    </row>
    <row r="104" spans="3:5">
      <c r="C104" s="376"/>
      <c r="D104" s="376"/>
      <c r="E104" s="376"/>
    </row>
    <row r="105" spans="3:5">
      <c r="C105" s="376"/>
      <c r="D105" s="376"/>
      <c r="E105" s="376"/>
    </row>
    <row r="106" spans="3:5">
      <c r="C106" s="376"/>
      <c r="D106" s="376"/>
      <c r="E106" s="376"/>
    </row>
    <row r="107" spans="3:5">
      <c r="C107" s="376"/>
      <c r="D107" s="376"/>
      <c r="E107" s="376"/>
    </row>
    <row r="108" spans="3:5">
      <c r="C108" s="376"/>
      <c r="D108" s="376"/>
      <c r="E108" s="376"/>
    </row>
    <row r="109" spans="3:5">
      <c r="C109" s="376"/>
      <c r="D109" s="376"/>
      <c r="E109" s="376"/>
    </row>
    <row r="110" spans="3:5">
      <c r="C110" s="376"/>
      <c r="D110" s="376"/>
      <c r="E110" s="376"/>
    </row>
    <row r="111" spans="3:5">
      <c r="C111" s="376"/>
      <c r="D111" s="376"/>
      <c r="E111" s="376"/>
    </row>
    <row r="112" spans="3:5">
      <c r="C112" s="376"/>
      <c r="D112" s="376"/>
      <c r="E112" s="376"/>
    </row>
  </sheetData>
  <phoneticPr fontId="23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A77B4-740E-4B4D-9E8B-E93950D2D5BE}">
  <dimension ref="A1:E112"/>
  <sheetViews>
    <sheetView zoomScale="133" workbookViewId="0">
      <selection activeCell="C11" sqref="C11"/>
    </sheetView>
  </sheetViews>
  <sheetFormatPr baseColWidth="10" defaultRowHeight="14"/>
  <cols>
    <col min="1" max="1" width="44.5" customWidth="1"/>
    <col min="2" max="2" width="31" customWidth="1"/>
    <col min="3" max="3" width="45" customWidth="1"/>
    <col min="4" max="4" width="12.5" bestFit="1" customWidth="1"/>
    <col min="5" max="5" width="14.6640625" bestFit="1" customWidth="1"/>
  </cols>
  <sheetData>
    <row r="1" spans="1:5" ht="15" thickBot="1">
      <c r="A1" s="386" t="s">
        <v>163</v>
      </c>
      <c r="B1" s="386" t="s">
        <v>164</v>
      </c>
      <c r="C1" s="387" t="s">
        <v>165</v>
      </c>
      <c r="D1" s="385"/>
      <c r="E1" s="385"/>
    </row>
    <row r="2" spans="1:5" ht="26" customHeight="1" thickBot="1">
      <c r="A2" s="34" t="s">
        <v>191</v>
      </c>
      <c r="B2" s="32">
        <v>2025</v>
      </c>
      <c r="C2" s="102" t="s">
        <v>166</v>
      </c>
      <c r="D2" s="385"/>
      <c r="E2" s="385"/>
    </row>
    <row r="3" spans="1:5" ht="19" customHeight="1" thickBot="1">
      <c r="A3" s="34" t="s">
        <v>192</v>
      </c>
      <c r="B3" s="32">
        <v>170</v>
      </c>
      <c r="C3" s="102" t="s">
        <v>167</v>
      </c>
      <c r="D3" s="385"/>
      <c r="E3" s="385"/>
    </row>
    <row r="4" spans="1:5" ht="24" customHeight="1" thickBot="1">
      <c r="A4" s="34" t="s">
        <v>193</v>
      </c>
      <c r="B4" s="13">
        <v>0.3</v>
      </c>
      <c r="C4" s="102" t="s">
        <v>168</v>
      </c>
      <c r="D4" s="385"/>
      <c r="E4" s="385"/>
    </row>
    <row r="5" spans="1:5" ht="21" customHeight="1" thickBot="1">
      <c r="A5" s="34" t="s">
        <v>194</v>
      </c>
      <c r="B5" s="32">
        <v>5</v>
      </c>
      <c r="C5" s="102" t="s">
        <v>169</v>
      </c>
      <c r="D5" s="385"/>
      <c r="E5" s="385"/>
    </row>
    <row r="6" spans="1:5" ht="25" customHeight="1" thickBot="1">
      <c r="A6" s="34" t="s">
        <v>195</v>
      </c>
      <c r="B6" s="13">
        <v>0.1</v>
      </c>
      <c r="C6" s="102" t="s">
        <v>170</v>
      </c>
      <c r="D6" s="385"/>
      <c r="E6" s="385"/>
    </row>
    <row r="7" spans="1:5" ht="27" customHeight="1" thickBot="1">
      <c r="A7" s="34" t="s">
        <v>196</v>
      </c>
      <c r="B7" s="13">
        <v>0.7</v>
      </c>
      <c r="C7" s="102" t="s">
        <v>171</v>
      </c>
      <c r="D7" s="385"/>
      <c r="E7" s="385"/>
    </row>
    <row r="8" spans="1:5" ht="22" customHeight="1" thickBot="1">
      <c r="A8" s="34" t="s">
        <v>197</v>
      </c>
      <c r="B8" s="32">
        <v>12</v>
      </c>
      <c r="C8" s="102" t="s">
        <v>172</v>
      </c>
      <c r="D8" s="385"/>
      <c r="E8" s="385"/>
    </row>
    <row r="9" spans="1:5" ht="23" customHeight="1" thickBot="1">
      <c r="A9" s="34" t="s">
        <v>198</v>
      </c>
      <c r="B9" s="32">
        <v>118.25</v>
      </c>
      <c r="C9" s="102" t="s">
        <v>173</v>
      </c>
      <c r="D9" s="385"/>
      <c r="E9" s="385"/>
    </row>
    <row r="10" spans="1:5" ht="19" customHeight="1" thickBot="1">
      <c r="A10" s="34" t="s">
        <v>199</v>
      </c>
      <c r="B10" s="32">
        <v>38</v>
      </c>
      <c r="C10" s="102" t="s">
        <v>175</v>
      </c>
      <c r="D10" s="385"/>
      <c r="E10" s="385"/>
    </row>
    <row r="11" spans="1:5">
      <c r="A11" s="385"/>
      <c r="B11" s="385"/>
      <c r="C11" s="388"/>
      <c r="D11" s="385"/>
      <c r="E11" s="385"/>
    </row>
    <row r="12" spans="1:5" ht="15" thickBot="1">
      <c r="A12" s="385"/>
      <c r="B12" s="385"/>
      <c r="C12" s="388"/>
      <c r="D12" s="385"/>
      <c r="E12" s="385"/>
    </row>
    <row r="13" spans="1:5" ht="29" thickBot="1">
      <c r="A13" s="34" t="s">
        <v>107</v>
      </c>
      <c r="B13" s="34" t="s">
        <v>96</v>
      </c>
      <c r="C13" s="34" t="s">
        <v>176</v>
      </c>
      <c r="D13" s="34" t="s">
        <v>177</v>
      </c>
      <c r="E13" s="34" t="s">
        <v>178</v>
      </c>
    </row>
    <row r="14" spans="1:5" ht="15" thickBot="1">
      <c r="A14" s="34">
        <f>B2+0</f>
        <v>2025</v>
      </c>
      <c r="B14" s="34">
        <f>B3</f>
        <v>170</v>
      </c>
      <c r="C14" s="34">
        <f>B14*B7</f>
        <v>118.99999999999999</v>
      </c>
      <c r="D14" s="34">
        <f>1/(1+B6)^(A14-B2)</f>
        <v>1</v>
      </c>
      <c r="E14" s="34">
        <f t="shared" ref="E14:E19" si="0">C14*D14</f>
        <v>118.99999999999999</v>
      </c>
    </row>
    <row r="15" spans="1:5" ht="15" thickBot="1">
      <c r="A15" s="34">
        <f>B2+1</f>
        <v>2026</v>
      </c>
      <c r="B15" s="34">
        <f>B14*(1+B4)</f>
        <v>221</v>
      </c>
      <c r="C15" s="34">
        <f>B15*B7</f>
        <v>154.69999999999999</v>
      </c>
      <c r="D15" s="34">
        <f>1/(1+B6)^(A15-B2)</f>
        <v>0.90909090909090906</v>
      </c>
      <c r="E15" s="34">
        <f t="shared" si="0"/>
        <v>140.63636363636363</v>
      </c>
    </row>
    <row r="16" spans="1:5" ht="15" thickBot="1">
      <c r="A16" s="34">
        <f>B2+2</f>
        <v>2027</v>
      </c>
      <c r="B16" s="405">
        <f>B15*(1+B4)</f>
        <v>287.3</v>
      </c>
      <c r="C16" s="405">
        <f>B16*B7</f>
        <v>201.10999999999999</v>
      </c>
      <c r="D16" s="34">
        <f>1/(1+B6)^(A16-B2)</f>
        <v>0.82644628099173545</v>
      </c>
      <c r="E16" s="34">
        <f t="shared" si="0"/>
        <v>166.2066115702479</v>
      </c>
    </row>
    <row r="17" spans="1:5" ht="15" thickBot="1">
      <c r="A17" s="34">
        <f>B2+3</f>
        <v>2028</v>
      </c>
      <c r="B17" s="405">
        <f>B16*(1+B4)</f>
        <v>373.49</v>
      </c>
      <c r="C17" s="405">
        <f>B17*B7</f>
        <v>261.44299999999998</v>
      </c>
      <c r="D17" s="34">
        <f>1/(1+B6)^(A17-B2)</f>
        <v>0.75131480090157754</v>
      </c>
      <c r="E17" s="34">
        <f t="shared" si="0"/>
        <v>196.42599549211113</v>
      </c>
    </row>
    <row r="18" spans="1:5" ht="15" thickBot="1">
      <c r="A18" s="34">
        <f>B2+4</f>
        <v>2029</v>
      </c>
      <c r="B18" s="405">
        <f>B17*(1+B4)</f>
        <v>485.53700000000003</v>
      </c>
      <c r="C18" s="405">
        <f>B18*B7</f>
        <v>339.8759</v>
      </c>
      <c r="D18" s="34">
        <f>1/(1+B6)^(A18-B2)</f>
        <v>0.68301345536507052</v>
      </c>
      <c r="E18" s="34">
        <f t="shared" si="0"/>
        <v>232.13981285431316</v>
      </c>
    </row>
    <row r="19" spans="1:5" ht="15" thickBot="1">
      <c r="A19" s="34">
        <f>B2+5</f>
        <v>2030</v>
      </c>
      <c r="B19" s="405">
        <f>B18*(1+B4)</f>
        <v>631.19810000000007</v>
      </c>
      <c r="C19" s="405">
        <f>B19*B7</f>
        <v>441.83867000000004</v>
      </c>
      <c r="D19" s="34">
        <f>1/(1+B6)^(A19-B2)</f>
        <v>0.62092132305915493</v>
      </c>
      <c r="E19" s="34">
        <f t="shared" si="0"/>
        <v>274.34705155509738</v>
      </c>
    </row>
    <row r="20" spans="1:5">
      <c r="A20" s="385"/>
      <c r="B20" s="385"/>
      <c r="C20" s="388"/>
      <c r="D20" s="385"/>
      <c r="E20" s="385"/>
    </row>
    <row r="21" spans="1:5" ht="15" thickBot="1">
      <c r="A21" s="385"/>
      <c r="B21" s="385"/>
      <c r="C21" s="388"/>
      <c r="D21" s="385"/>
      <c r="E21" s="385"/>
    </row>
    <row r="22" spans="1:5" ht="18" thickBot="1">
      <c r="A22" s="386" t="s">
        <v>179</v>
      </c>
      <c r="B22" s="386" t="s">
        <v>180</v>
      </c>
      <c r="C22" s="388"/>
      <c r="D22" s="51" t="s">
        <v>200</v>
      </c>
      <c r="E22" s="52">
        <f>B30</f>
        <v>150.3578459863482</v>
      </c>
    </row>
    <row r="23" spans="1:5" ht="30" customHeight="1" thickTop="1" thickBot="1">
      <c r="A23" s="34" t="s">
        <v>181</v>
      </c>
      <c r="B23" s="34">
        <f>SUM(E14:E19)</f>
        <v>1128.7558351081332</v>
      </c>
      <c r="C23" s="388"/>
      <c r="D23" s="43" t="s">
        <v>25</v>
      </c>
      <c r="E23" s="53">
        <v>114.96</v>
      </c>
    </row>
    <row r="24" spans="1:5" ht="25" customHeight="1" thickBot="1">
      <c r="A24" s="34" t="s">
        <v>182</v>
      </c>
      <c r="B24" s="34">
        <f>B19*B8</f>
        <v>7574.3772000000008</v>
      </c>
      <c r="C24" s="388"/>
      <c r="D24" s="54" t="s">
        <v>26</v>
      </c>
      <c r="E24" s="55">
        <f>(E22-E23)/E23</f>
        <v>0.30791445708375265</v>
      </c>
    </row>
    <row r="25" spans="1:5" ht="20" customHeight="1" thickBot="1">
      <c r="A25" s="34" t="s">
        <v>183</v>
      </c>
      <c r="B25" s="34">
        <f>B24/(1+B6)^B5</f>
        <v>4703.0923123730981</v>
      </c>
      <c r="C25" s="388"/>
      <c r="D25" s="56" t="s">
        <v>27</v>
      </c>
      <c r="E25" s="52" t="str">
        <f>IF(E24&gt;0,"BUY","SELL")</f>
        <v>BUY</v>
      </c>
    </row>
    <row r="26" spans="1:5" ht="19" customHeight="1" thickBot="1">
      <c r="A26" s="34" t="s">
        <v>184</v>
      </c>
      <c r="B26" s="34">
        <f>B23+B25</f>
        <v>5831.8481474812315</v>
      </c>
      <c r="C26" s="388"/>
      <c r="D26" s="385"/>
      <c r="E26" s="385"/>
    </row>
    <row r="27" spans="1:5" ht="20" customHeight="1" thickBot="1">
      <c r="A27" s="34" t="s">
        <v>185</v>
      </c>
      <c r="B27" s="34">
        <f>B9</f>
        <v>118.25</v>
      </c>
      <c r="C27" s="388"/>
      <c r="D27" s="385"/>
      <c r="E27" s="385"/>
    </row>
    <row r="28" spans="1:5" ht="15" thickBot="1">
      <c r="A28" s="34" t="s">
        <v>186</v>
      </c>
      <c r="B28" s="34">
        <f>B26-B27</f>
        <v>5713.5981474812315</v>
      </c>
      <c r="C28" s="388"/>
      <c r="D28" s="385"/>
      <c r="E28" s="385"/>
    </row>
    <row r="29" spans="1:5" ht="20" customHeight="1" thickBot="1">
      <c r="A29" s="34" t="s">
        <v>174</v>
      </c>
      <c r="B29" s="34">
        <f>B10</f>
        <v>38</v>
      </c>
      <c r="C29" s="388"/>
      <c r="D29" s="385"/>
      <c r="E29" s="385"/>
    </row>
    <row r="30" spans="1:5" ht="22" customHeight="1" thickBot="1">
      <c r="A30" s="34" t="s">
        <v>187</v>
      </c>
      <c r="B30" s="34">
        <f>B28/B29</f>
        <v>150.3578459863482</v>
      </c>
      <c r="C30" s="388"/>
      <c r="D30" s="385"/>
      <c r="E30" s="385"/>
    </row>
    <row r="31" spans="1:5" ht="15" thickBot="1">
      <c r="A31" s="385"/>
      <c r="B31" s="385"/>
      <c r="C31" s="388"/>
      <c r="D31" s="385"/>
      <c r="E31" s="385"/>
    </row>
    <row r="32" spans="1:5" ht="18" customHeight="1" thickBot="1">
      <c r="A32" s="34" t="s">
        <v>188</v>
      </c>
      <c r="B32" s="7">
        <f>B3*B8</f>
        <v>2040</v>
      </c>
      <c r="C32" s="388"/>
      <c r="D32" s="51" t="s">
        <v>200</v>
      </c>
      <c r="E32" s="52">
        <f>B34</f>
        <v>50.57236842105263</v>
      </c>
    </row>
    <row r="33" spans="1:5" ht="22" customHeight="1" thickBot="1">
      <c r="A33" s="34" t="s">
        <v>189</v>
      </c>
      <c r="B33" s="7">
        <f>B32-B9</f>
        <v>1921.75</v>
      </c>
      <c r="C33" s="388"/>
      <c r="D33" s="43" t="s">
        <v>25</v>
      </c>
      <c r="E33" s="53">
        <f>E23</f>
        <v>114.96</v>
      </c>
    </row>
    <row r="34" spans="1:5" ht="20" customHeight="1" thickBot="1">
      <c r="A34" s="34" t="s">
        <v>190</v>
      </c>
      <c r="B34" s="7">
        <f>B33/B10</f>
        <v>50.57236842105263</v>
      </c>
      <c r="C34" s="388"/>
      <c r="D34" s="54" t="s">
        <v>26</v>
      </c>
      <c r="E34" s="55">
        <f>(E32-E33)/E33</f>
        <v>-0.56008726147309817</v>
      </c>
    </row>
    <row r="35" spans="1:5" ht="18" thickBot="1">
      <c r="A35" s="388"/>
      <c r="B35" s="385"/>
      <c r="C35" s="388"/>
      <c r="D35" s="56" t="s">
        <v>27</v>
      </c>
      <c r="E35" s="52" t="str">
        <f>IF(E34&gt;0,"BUY","SELL")</f>
        <v>SELL</v>
      </c>
    </row>
    <row r="36" spans="1:5">
      <c r="C36" s="376"/>
      <c r="D36" s="376"/>
      <c r="E36" s="376"/>
    </row>
    <row r="37" spans="1:5">
      <c r="C37" s="376"/>
      <c r="D37" s="376"/>
      <c r="E37" s="376"/>
    </row>
    <row r="38" spans="1:5">
      <c r="C38" s="376"/>
      <c r="D38" s="376"/>
      <c r="E38" s="376"/>
    </row>
    <row r="39" spans="1:5">
      <c r="C39" s="376"/>
      <c r="D39" s="376"/>
      <c r="E39" s="376"/>
    </row>
    <row r="40" spans="1:5">
      <c r="C40" s="376"/>
      <c r="D40" s="376"/>
      <c r="E40" s="376"/>
    </row>
    <row r="41" spans="1:5">
      <c r="C41" s="376"/>
      <c r="D41" s="376"/>
      <c r="E41" s="376"/>
    </row>
    <row r="42" spans="1:5">
      <c r="C42" s="376"/>
      <c r="D42" s="376"/>
      <c r="E42" s="376"/>
    </row>
    <row r="43" spans="1:5">
      <c r="C43" s="376"/>
      <c r="D43" s="376"/>
      <c r="E43" s="376"/>
    </row>
    <row r="44" spans="1:5">
      <c r="C44" s="376"/>
      <c r="D44" s="376"/>
      <c r="E44" s="376"/>
    </row>
    <row r="45" spans="1:5">
      <c r="C45" s="376"/>
      <c r="D45" s="376"/>
      <c r="E45" s="376"/>
    </row>
    <row r="46" spans="1:5">
      <c r="C46" s="376"/>
      <c r="D46" s="376"/>
      <c r="E46" s="376"/>
    </row>
    <row r="47" spans="1:5">
      <c r="C47" s="376"/>
      <c r="D47" s="376"/>
      <c r="E47" s="376"/>
    </row>
    <row r="48" spans="1:5">
      <c r="C48" s="376"/>
      <c r="D48" s="376"/>
      <c r="E48" s="376"/>
    </row>
    <row r="49" spans="3:5">
      <c r="C49" s="376"/>
      <c r="D49" s="376"/>
      <c r="E49" s="376"/>
    </row>
    <row r="50" spans="3:5">
      <c r="C50" s="376"/>
      <c r="D50" s="376"/>
      <c r="E50" s="376"/>
    </row>
    <row r="51" spans="3:5">
      <c r="C51" s="376"/>
      <c r="D51" s="376"/>
      <c r="E51" s="376"/>
    </row>
    <row r="52" spans="3:5">
      <c r="C52" s="376"/>
      <c r="D52" s="376"/>
      <c r="E52" s="376"/>
    </row>
    <row r="53" spans="3:5">
      <c r="C53" s="376"/>
      <c r="D53" s="376"/>
      <c r="E53" s="376"/>
    </row>
    <row r="54" spans="3:5">
      <c r="C54" s="376"/>
      <c r="D54" s="376"/>
      <c r="E54" s="376"/>
    </row>
    <row r="55" spans="3:5">
      <c r="C55" s="376"/>
      <c r="D55" s="376"/>
      <c r="E55" s="376"/>
    </row>
    <row r="56" spans="3:5">
      <c r="C56" s="376"/>
      <c r="D56" s="376"/>
      <c r="E56" s="376"/>
    </row>
    <row r="57" spans="3:5">
      <c r="C57" s="376"/>
      <c r="D57" s="376"/>
      <c r="E57" s="376"/>
    </row>
    <row r="58" spans="3:5">
      <c r="C58" s="376"/>
      <c r="D58" s="376"/>
      <c r="E58" s="376"/>
    </row>
    <row r="59" spans="3:5">
      <c r="C59" s="376"/>
      <c r="D59" s="376"/>
      <c r="E59" s="376"/>
    </row>
    <row r="60" spans="3:5">
      <c r="C60" s="376"/>
      <c r="D60" s="376"/>
      <c r="E60" s="376"/>
    </row>
    <row r="61" spans="3:5">
      <c r="C61" s="376"/>
      <c r="D61" s="376"/>
      <c r="E61" s="376"/>
    </row>
    <row r="62" spans="3:5">
      <c r="C62" s="376"/>
      <c r="D62" s="376"/>
      <c r="E62" s="376"/>
    </row>
    <row r="63" spans="3:5">
      <c r="C63" s="376"/>
      <c r="D63" s="376"/>
      <c r="E63" s="376"/>
    </row>
    <row r="64" spans="3:5">
      <c r="C64" s="376"/>
      <c r="D64" s="376"/>
      <c r="E64" s="376"/>
    </row>
    <row r="65" spans="3:5">
      <c r="C65" s="376"/>
      <c r="D65" s="376"/>
      <c r="E65" s="376"/>
    </row>
    <row r="66" spans="3:5">
      <c r="C66" s="376"/>
      <c r="D66" s="376"/>
      <c r="E66" s="376"/>
    </row>
    <row r="67" spans="3:5">
      <c r="C67" s="376"/>
      <c r="D67" s="376"/>
      <c r="E67" s="376"/>
    </row>
    <row r="68" spans="3:5">
      <c r="C68" s="376"/>
      <c r="D68" s="376"/>
      <c r="E68" s="376"/>
    </row>
    <row r="69" spans="3:5">
      <c r="C69" s="376"/>
      <c r="D69" s="376"/>
      <c r="E69" s="376"/>
    </row>
    <row r="70" spans="3:5">
      <c r="C70" s="376"/>
      <c r="D70" s="376"/>
      <c r="E70" s="376"/>
    </row>
    <row r="71" spans="3:5">
      <c r="C71" s="376"/>
      <c r="D71" s="376"/>
      <c r="E71" s="376"/>
    </row>
    <row r="72" spans="3:5">
      <c r="C72" s="376"/>
      <c r="D72" s="376"/>
      <c r="E72" s="376"/>
    </row>
    <row r="73" spans="3:5">
      <c r="C73" s="376"/>
      <c r="D73" s="376"/>
      <c r="E73" s="376"/>
    </row>
    <row r="74" spans="3:5">
      <c r="C74" s="376"/>
      <c r="D74" s="376"/>
      <c r="E74" s="376"/>
    </row>
    <row r="75" spans="3:5">
      <c r="C75" s="376"/>
      <c r="D75" s="376"/>
      <c r="E75" s="376"/>
    </row>
    <row r="76" spans="3:5">
      <c r="C76" s="376"/>
      <c r="D76" s="376"/>
      <c r="E76" s="376"/>
    </row>
    <row r="77" spans="3:5">
      <c r="C77" s="376"/>
      <c r="D77" s="376"/>
      <c r="E77" s="376"/>
    </row>
    <row r="78" spans="3:5">
      <c r="C78" s="376"/>
      <c r="D78" s="376"/>
      <c r="E78" s="376"/>
    </row>
    <row r="79" spans="3:5">
      <c r="C79" s="376"/>
      <c r="D79" s="376"/>
      <c r="E79" s="376"/>
    </row>
    <row r="80" spans="3:5">
      <c r="C80" s="376"/>
      <c r="D80" s="376"/>
      <c r="E80" s="376"/>
    </row>
    <row r="81" spans="3:5">
      <c r="C81" s="376"/>
      <c r="D81" s="376"/>
      <c r="E81" s="376"/>
    </row>
    <row r="82" spans="3:5">
      <c r="C82" s="376"/>
      <c r="D82" s="376"/>
      <c r="E82" s="376"/>
    </row>
    <row r="83" spans="3:5">
      <c r="C83" s="376"/>
      <c r="D83" s="376"/>
      <c r="E83" s="376"/>
    </row>
    <row r="84" spans="3:5">
      <c r="C84" s="376"/>
      <c r="D84" s="376"/>
      <c r="E84" s="376"/>
    </row>
    <row r="85" spans="3:5">
      <c r="C85" s="376"/>
      <c r="D85" s="376"/>
      <c r="E85" s="376"/>
    </row>
    <row r="86" spans="3:5">
      <c r="C86" s="376"/>
      <c r="D86" s="376"/>
      <c r="E86" s="376"/>
    </row>
    <row r="87" spans="3:5">
      <c r="C87" s="376"/>
      <c r="D87" s="376"/>
      <c r="E87" s="376"/>
    </row>
    <row r="88" spans="3:5">
      <c r="C88" s="376"/>
      <c r="D88" s="376"/>
      <c r="E88" s="376"/>
    </row>
    <row r="89" spans="3:5">
      <c r="C89" s="376"/>
      <c r="D89" s="376"/>
      <c r="E89" s="376"/>
    </row>
    <row r="90" spans="3:5">
      <c r="C90" s="376"/>
      <c r="D90" s="376"/>
      <c r="E90" s="376"/>
    </row>
    <row r="91" spans="3:5">
      <c r="C91" s="376"/>
      <c r="D91" s="376"/>
      <c r="E91" s="376"/>
    </row>
    <row r="92" spans="3:5">
      <c r="C92" s="376"/>
      <c r="D92" s="376"/>
      <c r="E92" s="376"/>
    </row>
    <row r="93" spans="3:5">
      <c r="C93" s="376"/>
      <c r="D93" s="376"/>
      <c r="E93" s="376"/>
    </row>
    <row r="94" spans="3:5">
      <c r="C94" s="376"/>
      <c r="D94" s="376"/>
      <c r="E94" s="376"/>
    </row>
    <row r="95" spans="3:5">
      <c r="C95" s="376"/>
      <c r="D95" s="376"/>
      <c r="E95" s="376"/>
    </row>
    <row r="96" spans="3:5">
      <c r="C96" s="376"/>
      <c r="D96" s="376"/>
      <c r="E96" s="376"/>
    </row>
    <row r="97" spans="3:5">
      <c r="C97" s="376"/>
      <c r="D97" s="376"/>
      <c r="E97" s="376"/>
    </row>
    <row r="98" spans="3:5">
      <c r="C98" s="376"/>
      <c r="D98" s="376"/>
      <c r="E98" s="376"/>
    </row>
    <row r="99" spans="3:5">
      <c r="C99" s="376"/>
      <c r="D99" s="376"/>
      <c r="E99" s="376"/>
    </row>
    <row r="100" spans="3:5">
      <c r="C100" s="376"/>
      <c r="D100" s="376"/>
      <c r="E100" s="376"/>
    </row>
    <row r="101" spans="3:5">
      <c r="C101" s="376"/>
      <c r="D101" s="376"/>
      <c r="E101" s="376"/>
    </row>
    <row r="102" spans="3:5">
      <c r="C102" s="376"/>
      <c r="D102" s="376"/>
      <c r="E102" s="376"/>
    </row>
    <row r="103" spans="3:5">
      <c r="C103" s="376"/>
      <c r="D103" s="376"/>
      <c r="E103" s="376"/>
    </row>
    <row r="104" spans="3:5">
      <c r="C104" s="376"/>
      <c r="D104" s="376"/>
      <c r="E104" s="376"/>
    </row>
    <row r="105" spans="3:5">
      <c r="C105" s="376"/>
      <c r="D105" s="376"/>
      <c r="E105" s="376"/>
    </row>
    <row r="106" spans="3:5">
      <c r="C106" s="376"/>
      <c r="D106" s="376"/>
      <c r="E106" s="376"/>
    </row>
    <row r="107" spans="3:5">
      <c r="C107" s="376"/>
      <c r="D107" s="376"/>
      <c r="E107" s="376"/>
    </row>
    <row r="108" spans="3:5">
      <c r="C108" s="376"/>
      <c r="D108" s="376"/>
      <c r="E108" s="376"/>
    </row>
    <row r="109" spans="3:5">
      <c r="C109" s="376"/>
      <c r="D109" s="376"/>
      <c r="E109" s="376"/>
    </row>
    <row r="110" spans="3:5">
      <c r="C110" s="376"/>
      <c r="D110" s="376"/>
      <c r="E110" s="376"/>
    </row>
    <row r="111" spans="3:5">
      <c r="C111" s="376"/>
      <c r="D111" s="376"/>
      <c r="E111" s="376"/>
    </row>
    <row r="112" spans="3:5">
      <c r="C112" s="376"/>
      <c r="D112" s="376"/>
      <c r="E112" s="376"/>
    </row>
  </sheetData>
  <phoneticPr fontId="23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1B135-4713-3B43-8D46-DABA1ED7D195}">
  <dimension ref="A1:E112"/>
  <sheetViews>
    <sheetView workbookViewId="0">
      <selection activeCell="L30" sqref="L30"/>
    </sheetView>
  </sheetViews>
  <sheetFormatPr baseColWidth="10" defaultRowHeight="14"/>
  <cols>
    <col min="1" max="1" width="44.5" customWidth="1"/>
    <col min="2" max="2" width="31" customWidth="1"/>
    <col min="3" max="3" width="45" customWidth="1"/>
    <col min="4" max="4" width="12.5" bestFit="1" customWidth="1"/>
    <col min="5" max="5" width="14.6640625" bestFit="1" customWidth="1"/>
  </cols>
  <sheetData>
    <row r="1" spans="1:5" ht="15" thickBot="1">
      <c r="A1" s="386" t="s">
        <v>163</v>
      </c>
      <c r="B1" s="386" t="s">
        <v>164</v>
      </c>
      <c r="C1" s="387" t="s">
        <v>165</v>
      </c>
      <c r="D1" s="385"/>
      <c r="E1" s="385"/>
    </row>
    <row r="2" spans="1:5" ht="26" customHeight="1" thickBot="1">
      <c r="A2" s="34" t="s">
        <v>191</v>
      </c>
      <c r="B2" s="32">
        <v>2025</v>
      </c>
      <c r="C2" s="102" t="s">
        <v>166</v>
      </c>
      <c r="D2" s="385"/>
      <c r="E2" s="385"/>
    </row>
    <row r="3" spans="1:5" ht="19" customHeight="1" thickBot="1">
      <c r="A3" s="34" t="s">
        <v>192</v>
      </c>
      <c r="B3" s="32">
        <v>193.09</v>
      </c>
      <c r="C3" s="102" t="s">
        <v>167</v>
      </c>
      <c r="D3" s="385"/>
      <c r="E3" s="385"/>
    </row>
    <row r="4" spans="1:5" ht="24" customHeight="1" thickBot="1">
      <c r="A4" s="34" t="s">
        <v>193</v>
      </c>
      <c r="B4" s="13">
        <v>0.25</v>
      </c>
      <c r="C4" s="102" t="s">
        <v>168</v>
      </c>
      <c r="D4" s="385"/>
      <c r="E4" s="385"/>
    </row>
    <row r="5" spans="1:5" ht="21" customHeight="1" thickBot="1">
      <c r="A5" s="34" t="s">
        <v>194</v>
      </c>
      <c r="B5" s="32">
        <v>5</v>
      </c>
      <c r="C5" s="102" t="s">
        <v>169</v>
      </c>
      <c r="D5" s="385"/>
      <c r="E5" s="385"/>
    </row>
    <row r="6" spans="1:5" ht="25" customHeight="1" thickBot="1">
      <c r="A6" s="34" t="s">
        <v>195</v>
      </c>
      <c r="B6" s="13">
        <v>0.1</v>
      </c>
      <c r="C6" s="102" t="s">
        <v>170</v>
      </c>
      <c r="D6" s="385"/>
      <c r="E6" s="385"/>
    </row>
    <row r="7" spans="1:5" ht="27" customHeight="1" thickBot="1">
      <c r="A7" s="34" t="s">
        <v>196</v>
      </c>
      <c r="B7" s="13">
        <v>0.7</v>
      </c>
      <c r="C7" s="102" t="s">
        <v>171</v>
      </c>
      <c r="D7" s="385"/>
      <c r="E7" s="385"/>
    </row>
    <row r="8" spans="1:5" ht="22" customHeight="1" thickBot="1">
      <c r="A8" s="34" t="s">
        <v>197</v>
      </c>
      <c r="B8" s="32">
        <v>12</v>
      </c>
      <c r="C8" s="102" t="s">
        <v>172</v>
      </c>
      <c r="D8" s="385"/>
      <c r="E8" s="385"/>
    </row>
    <row r="9" spans="1:5" ht="23" customHeight="1" thickBot="1">
      <c r="A9" s="34" t="s">
        <v>198</v>
      </c>
      <c r="B9" s="32">
        <v>559.21</v>
      </c>
      <c r="C9" s="102" t="s">
        <v>173</v>
      </c>
      <c r="D9" s="385"/>
      <c r="E9" s="385"/>
    </row>
    <row r="10" spans="1:5" ht="19" customHeight="1" thickBot="1">
      <c r="A10" s="34" t="s">
        <v>199</v>
      </c>
      <c r="B10" s="32">
        <v>75</v>
      </c>
      <c r="C10" s="102" t="s">
        <v>175</v>
      </c>
      <c r="D10" s="385"/>
      <c r="E10" s="385"/>
    </row>
    <row r="11" spans="1:5">
      <c r="A11" s="385"/>
      <c r="B11" s="385"/>
      <c r="C11" s="388"/>
      <c r="D11" s="385"/>
      <c r="E11" s="385"/>
    </row>
    <row r="12" spans="1:5" ht="15" thickBot="1">
      <c r="A12" s="385"/>
      <c r="B12" s="385"/>
      <c r="C12" s="388"/>
      <c r="D12" s="385"/>
      <c r="E12" s="385"/>
    </row>
    <row r="13" spans="1:5" ht="29" thickBot="1">
      <c r="A13" s="34" t="s">
        <v>107</v>
      </c>
      <c r="B13" s="34" t="s">
        <v>96</v>
      </c>
      <c r="C13" s="34" t="s">
        <v>176</v>
      </c>
      <c r="D13" s="34" t="s">
        <v>177</v>
      </c>
      <c r="E13" s="34" t="s">
        <v>178</v>
      </c>
    </row>
    <row r="14" spans="1:5" ht="15" thickBot="1">
      <c r="A14" s="34">
        <f>B2+0</f>
        <v>2025</v>
      </c>
      <c r="B14" s="34">
        <f>B3</f>
        <v>193.09</v>
      </c>
      <c r="C14" s="34">
        <f>B14*B7</f>
        <v>135.16299999999998</v>
      </c>
      <c r="D14" s="34">
        <f>1/(1+B6)^(A14-B2)</f>
        <v>1</v>
      </c>
      <c r="E14" s="34">
        <f t="shared" ref="E14:E19" si="0">C14*D14</f>
        <v>135.16299999999998</v>
      </c>
    </row>
    <row r="15" spans="1:5" ht="15" thickBot="1">
      <c r="A15" s="34">
        <f>B2+1</f>
        <v>2026</v>
      </c>
      <c r="B15" s="34">
        <f>B14*(1+B4)</f>
        <v>241.36250000000001</v>
      </c>
      <c r="C15" s="34">
        <f>B15*B7</f>
        <v>168.95374999999999</v>
      </c>
      <c r="D15" s="34">
        <f>1/(1+B6)^(A15-B2)</f>
        <v>0.90909090909090906</v>
      </c>
      <c r="E15" s="34">
        <f t="shared" si="0"/>
        <v>153.59431818181815</v>
      </c>
    </row>
    <row r="16" spans="1:5" ht="15" thickBot="1">
      <c r="A16" s="34">
        <f>B2+2</f>
        <v>2027</v>
      </c>
      <c r="B16" s="405">
        <f>B15*(1+B4)</f>
        <v>301.703125</v>
      </c>
      <c r="C16" s="405">
        <f>B16*B7</f>
        <v>211.19218749999999</v>
      </c>
      <c r="D16" s="34">
        <f>1/(1+B6)^(A16-B2)</f>
        <v>0.82644628099173545</v>
      </c>
      <c r="E16" s="34">
        <f t="shared" si="0"/>
        <v>174.53899793388427</v>
      </c>
    </row>
    <row r="17" spans="1:5" ht="15" thickBot="1">
      <c r="A17" s="34">
        <f>B2+3</f>
        <v>2028</v>
      </c>
      <c r="B17" s="405">
        <f>B16*(1+B4)</f>
        <v>377.12890625</v>
      </c>
      <c r="C17" s="405">
        <f>B17*B7</f>
        <v>263.990234375</v>
      </c>
      <c r="D17" s="34">
        <f>1/(1+B6)^(A17-B2)</f>
        <v>0.75131480090157754</v>
      </c>
      <c r="E17" s="34">
        <f t="shared" si="0"/>
        <v>198.33977037941392</v>
      </c>
    </row>
    <row r="18" spans="1:5" ht="15" thickBot="1">
      <c r="A18" s="34">
        <f>B2+4</f>
        <v>2029</v>
      </c>
      <c r="B18" s="405">
        <f>B17*(1+B4)</f>
        <v>471.4111328125</v>
      </c>
      <c r="C18" s="405">
        <f>B18*B7</f>
        <v>329.98779296875</v>
      </c>
      <c r="D18" s="34">
        <f>1/(1+B6)^(A18-B2)</f>
        <v>0.68301345536507052</v>
      </c>
      <c r="E18" s="34">
        <f t="shared" si="0"/>
        <v>225.38610270387946</v>
      </c>
    </row>
    <row r="19" spans="1:5" ht="15" thickBot="1">
      <c r="A19" s="34">
        <f>B2+5</f>
        <v>2030</v>
      </c>
      <c r="B19" s="405">
        <f>B18*(1+B4)</f>
        <v>589.263916015625</v>
      </c>
      <c r="C19" s="405">
        <f>B19*B7</f>
        <v>412.4847412109375</v>
      </c>
      <c r="D19" s="34">
        <f>1/(1+B6)^(A19-B2)</f>
        <v>0.62092132305915493</v>
      </c>
      <c r="E19" s="34">
        <f t="shared" si="0"/>
        <v>256.12057125440845</v>
      </c>
    </row>
    <row r="20" spans="1:5">
      <c r="A20" s="385"/>
      <c r="B20" s="385"/>
      <c r="C20" s="388"/>
      <c r="D20" s="385"/>
      <c r="E20" s="385"/>
    </row>
    <row r="21" spans="1:5" ht="15" thickBot="1">
      <c r="A21" s="385"/>
      <c r="B21" s="385"/>
      <c r="C21" s="388"/>
      <c r="D21" s="385"/>
      <c r="E21" s="385"/>
    </row>
    <row r="22" spans="1:5" ht="18" thickBot="1">
      <c r="A22" s="386" t="s">
        <v>179</v>
      </c>
      <c r="B22" s="386" t="s">
        <v>180</v>
      </c>
      <c r="C22" s="388"/>
      <c r="D22" s="51" t="s">
        <v>200</v>
      </c>
      <c r="E22" s="52">
        <f>B30</f>
        <v>66.327614997529224</v>
      </c>
    </row>
    <row r="23" spans="1:5" ht="30" customHeight="1" thickTop="1" thickBot="1">
      <c r="A23" s="34" t="s">
        <v>181</v>
      </c>
      <c r="B23" s="34">
        <f>SUM(E14:E19)</f>
        <v>1143.1427604534042</v>
      </c>
      <c r="C23" s="388"/>
      <c r="D23" s="43" t="s">
        <v>25</v>
      </c>
      <c r="E23" s="53">
        <v>43.81</v>
      </c>
    </row>
    <row r="24" spans="1:5" ht="25" customHeight="1" thickBot="1">
      <c r="A24" s="34" t="s">
        <v>182</v>
      </c>
      <c r="B24" s="34">
        <f>B19*B8</f>
        <v>7071.1669921875</v>
      </c>
      <c r="C24" s="388"/>
      <c r="D24" s="54" t="s">
        <v>26</v>
      </c>
      <c r="E24" s="55">
        <f>(E22-E23)/E23</f>
        <v>0.51398345121043643</v>
      </c>
    </row>
    <row r="25" spans="1:5" ht="20" customHeight="1" thickBot="1">
      <c r="A25" s="34" t="s">
        <v>183</v>
      </c>
      <c r="B25" s="34">
        <f>B24/(1+B6)^B5</f>
        <v>4390.638364361288</v>
      </c>
      <c r="C25" s="388"/>
      <c r="D25" s="56" t="s">
        <v>27</v>
      </c>
      <c r="E25" s="52" t="str">
        <f>IF(E24&gt;0,"BUY","SELL")</f>
        <v>BUY</v>
      </c>
    </row>
    <row r="26" spans="1:5" ht="19" customHeight="1" thickBot="1">
      <c r="A26" s="34" t="s">
        <v>184</v>
      </c>
      <c r="B26" s="34">
        <f>B23+B25</f>
        <v>5533.7811248146918</v>
      </c>
      <c r="C26" s="388"/>
      <c r="D26" s="385"/>
      <c r="E26" s="385"/>
    </row>
    <row r="27" spans="1:5" ht="20" customHeight="1" thickBot="1">
      <c r="A27" s="34" t="s">
        <v>185</v>
      </c>
      <c r="B27" s="34">
        <f>B9</f>
        <v>559.21</v>
      </c>
      <c r="C27" s="388"/>
      <c r="D27" s="385"/>
      <c r="E27" s="385"/>
    </row>
    <row r="28" spans="1:5" ht="15" thickBot="1">
      <c r="A28" s="34" t="s">
        <v>186</v>
      </c>
      <c r="B28" s="34">
        <f>B26-B27</f>
        <v>4974.5711248146918</v>
      </c>
      <c r="C28" s="388"/>
      <c r="D28" s="385"/>
      <c r="E28" s="385"/>
    </row>
    <row r="29" spans="1:5" ht="20" customHeight="1" thickBot="1">
      <c r="A29" s="34" t="s">
        <v>174</v>
      </c>
      <c r="B29" s="34">
        <f>B10</f>
        <v>75</v>
      </c>
      <c r="C29" s="388"/>
      <c r="D29" s="385"/>
      <c r="E29" s="385"/>
    </row>
    <row r="30" spans="1:5" ht="22" customHeight="1" thickBot="1">
      <c r="A30" s="34" t="s">
        <v>187</v>
      </c>
      <c r="B30" s="34">
        <f>B28/B29</f>
        <v>66.327614997529224</v>
      </c>
      <c r="C30" s="388"/>
      <c r="D30" s="385"/>
      <c r="E30" s="385"/>
    </row>
    <row r="31" spans="1:5" ht="15" thickBot="1">
      <c r="A31" s="385"/>
      <c r="B31" s="385"/>
      <c r="C31" s="388"/>
      <c r="D31" s="385"/>
      <c r="E31" s="385"/>
    </row>
    <row r="32" spans="1:5" ht="18" customHeight="1" thickBot="1">
      <c r="A32" s="34" t="s">
        <v>188</v>
      </c>
      <c r="B32" s="7">
        <f>B3*B8</f>
        <v>2317.08</v>
      </c>
      <c r="C32" s="388"/>
      <c r="D32" s="51" t="s">
        <v>200</v>
      </c>
      <c r="E32" s="52">
        <f>B34</f>
        <v>23.438266666666664</v>
      </c>
    </row>
    <row r="33" spans="1:5" ht="22" customHeight="1" thickBot="1">
      <c r="A33" s="34" t="s">
        <v>189</v>
      </c>
      <c r="B33" s="7">
        <f>B32-B9</f>
        <v>1757.87</v>
      </c>
      <c r="C33" s="388"/>
      <c r="D33" s="43" t="s">
        <v>25</v>
      </c>
      <c r="E33" s="53">
        <f>E23</f>
        <v>43.81</v>
      </c>
    </row>
    <row r="34" spans="1:5" ht="20" customHeight="1" thickBot="1">
      <c r="A34" s="34" t="s">
        <v>190</v>
      </c>
      <c r="B34" s="7">
        <f>B33/B10</f>
        <v>23.438266666666664</v>
      </c>
      <c r="C34" s="388"/>
      <c r="D34" s="54" t="s">
        <v>26</v>
      </c>
      <c r="E34" s="55">
        <f>(E32-E33)/E33</f>
        <v>-0.46500190215323756</v>
      </c>
    </row>
    <row r="35" spans="1:5" ht="18" thickBot="1">
      <c r="A35" s="388"/>
      <c r="B35" s="385"/>
      <c r="C35" s="388"/>
      <c r="D35" s="56" t="s">
        <v>27</v>
      </c>
      <c r="E35" s="52" t="str">
        <f>IF(E34&gt;0,"BUY","SELL")</f>
        <v>SELL</v>
      </c>
    </row>
    <row r="36" spans="1:5">
      <c r="C36" s="414"/>
      <c r="D36" s="414"/>
      <c r="E36" s="414"/>
    </row>
    <row r="37" spans="1:5">
      <c r="C37" s="414"/>
      <c r="D37" s="414"/>
      <c r="E37" s="414"/>
    </row>
    <row r="38" spans="1:5">
      <c r="C38" s="414"/>
      <c r="D38" s="414"/>
      <c r="E38" s="414"/>
    </row>
    <row r="39" spans="1:5">
      <c r="C39" s="414"/>
      <c r="D39" s="414"/>
      <c r="E39" s="414"/>
    </row>
    <row r="40" spans="1:5">
      <c r="C40" s="414"/>
      <c r="D40" s="414"/>
      <c r="E40" s="414"/>
    </row>
    <row r="41" spans="1:5">
      <c r="C41" s="414"/>
      <c r="D41" s="414"/>
      <c r="E41" s="414"/>
    </row>
    <row r="42" spans="1:5">
      <c r="C42" s="414"/>
      <c r="D42" s="414"/>
      <c r="E42" s="414"/>
    </row>
    <row r="43" spans="1:5">
      <c r="C43" s="414"/>
      <c r="D43" s="414"/>
      <c r="E43" s="414"/>
    </row>
    <row r="44" spans="1:5">
      <c r="C44" s="414"/>
      <c r="D44" s="414"/>
      <c r="E44" s="414"/>
    </row>
    <row r="45" spans="1:5">
      <c r="C45" s="414"/>
      <c r="D45" s="414"/>
      <c r="E45" s="414"/>
    </row>
    <row r="46" spans="1:5">
      <c r="C46" s="414"/>
      <c r="D46" s="414"/>
      <c r="E46" s="414"/>
    </row>
    <row r="47" spans="1:5">
      <c r="C47" s="414"/>
      <c r="D47" s="414"/>
      <c r="E47" s="414"/>
    </row>
    <row r="48" spans="1:5">
      <c r="C48" s="414"/>
      <c r="D48" s="414"/>
      <c r="E48" s="414"/>
    </row>
    <row r="49" spans="3:5">
      <c r="C49" s="414"/>
      <c r="D49" s="414"/>
      <c r="E49" s="414"/>
    </row>
    <row r="50" spans="3:5">
      <c r="C50" s="414"/>
      <c r="D50" s="414"/>
      <c r="E50" s="414"/>
    </row>
    <row r="51" spans="3:5">
      <c r="C51" s="414"/>
      <c r="D51" s="414"/>
      <c r="E51" s="414"/>
    </row>
    <row r="52" spans="3:5">
      <c r="C52" s="414"/>
      <c r="D52" s="414"/>
      <c r="E52" s="414"/>
    </row>
    <row r="53" spans="3:5">
      <c r="C53" s="414"/>
      <c r="D53" s="414"/>
      <c r="E53" s="414"/>
    </row>
    <row r="54" spans="3:5">
      <c r="C54" s="414"/>
      <c r="D54" s="414"/>
      <c r="E54" s="414"/>
    </row>
    <row r="55" spans="3:5">
      <c r="C55" s="414"/>
      <c r="D55" s="414"/>
      <c r="E55" s="414"/>
    </row>
    <row r="56" spans="3:5">
      <c r="C56" s="414"/>
      <c r="D56" s="414"/>
      <c r="E56" s="414"/>
    </row>
    <row r="57" spans="3:5">
      <c r="C57" s="414"/>
      <c r="D57" s="414"/>
      <c r="E57" s="414"/>
    </row>
    <row r="58" spans="3:5">
      <c r="C58" s="414"/>
      <c r="D58" s="414"/>
      <c r="E58" s="414"/>
    </row>
    <row r="59" spans="3:5">
      <c r="C59" s="414"/>
      <c r="D59" s="414"/>
      <c r="E59" s="414"/>
    </row>
    <row r="60" spans="3:5">
      <c r="C60" s="414"/>
      <c r="D60" s="414"/>
      <c r="E60" s="414"/>
    </row>
    <row r="61" spans="3:5">
      <c r="C61" s="414"/>
      <c r="D61" s="414"/>
      <c r="E61" s="414"/>
    </row>
    <row r="62" spans="3:5">
      <c r="C62" s="414"/>
      <c r="D62" s="414"/>
      <c r="E62" s="414"/>
    </row>
    <row r="63" spans="3:5">
      <c r="C63" s="414"/>
      <c r="D63" s="414"/>
      <c r="E63" s="414"/>
    </row>
    <row r="64" spans="3:5">
      <c r="C64" s="414"/>
      <c r="D64" s="414"/>
      <c r="E64" s="414"/>
    </row>
    <row r="65" spans="3:5">
      <c r="C65" s="414"/>
      <c r="D65" s="414"/>
      <c r="E65" s="414"/>
    </row>
    <row r="66" spans="3:5">
      <c r="C66" s="414"/>
      <c r="D66" s="414"/>
      <c r="E66" s="414"/>
    </row>
    <row r="67" spans="3:5">
      <c r="C67" s="414"/>
      <c r="D67" s="414"/>
      <c r="E67" s="414"/>
    </row>
    <row r="68" spans="3:5">
      <c r="C68" s="414"/>
      <c r="D68" s="414"/>
      <c r="E68" s="414"/>
    </row>
    <row r="69" spans="3:5">
      <c r="C69" s="414"/>
      <c r="D69" s="414"/>
      <c r="E69" s="414"/>
    </row>
    <row r="70" spans="3:5">
      <c r="C70" s="414"/>
      <c r="D70" s="414"/>
      <c r="E70" s="414"/>
    </row>
    <row r="71" spans="3:5">
      <c r="C71" s="414"/>
      <c r="D71" s="414"/>
      <c r="E71" s="414"/>
    </row>
    <row r="72" spans="3:5">
      <c r="C72" s="414"/>
      <c r="D72" s="414"/>
      <c r="E72" s="414"/>
    </row>
    <row r="73" spans="3:5">
      <c r="C73" s="414"/>
      <c r="D73" s="414"/>
      <c r="E73" s="414"/>
    </row>
    <row r="74" spans="3:5">
      <c r="C74" s="414"/>
      <c r="D74" s="414"/>
      <c r="E74" s="414"/>
    </row>
    <row r="75" spans="3:5">
      <c r="C75" s="414"/>
      <c r="D75" s="414"/>
      <c r="E75" s="414"/>
    </row>
    <row r="76" spans="3:5">
      <c r="C76" s="414"/>
      <c r="D76" s="414"/>
      <c r="E76" s="414"/>
    </row>
    <row r="77" spans="3:5">
      <c r="C77" s="414"/>
      <c r="D77" s="414"/>
      <c r="E77" s="414"/>
    </row>
    <row r="78" spans="3:5">
      <c r="C78" s="414"/>
      <c r="D78" s="414"/>
      <c r="E78" s="414"/>
    </row>
    <row r="79" spans="3:5">
      <c r="C79" s="414"/>
      <c r="D79" s="414"/>
      <c r="E79" s="414"/>
    </row>
    <row r="80" spans="3:5">
      <c r="C80" s="414"/>
      <c r="D80" s="414"/>
      <c r="E80" s="414"/>
    </row>
    <row r="81" spans="3:5">
      <c r="C81" s="414"/>
      <c r="D81" s="414"/>
      <c r="E81" s="414"/>
    </row>
    <row r="82" spans="3:5">
      <c r="C82" s="414"/>
      <c r="D82" s="414"/>
      <c r="E82" s="414"/>
    </row>
    <row r="83" spans="3:5">
      <c r="C83" s="414"/>
      <c r="D83" s="414"/>
      <c r="E83" s="414"/>
    </row>
    <row r="84" spans="3:5">
      <c r="C84" s="414"/>
      <c r="D84" s="414"/>
      <c r="E84" s="414"/>
    </row>
    <row r="85" spans="3:5">
      <c r="C85" s="414"/>
      <c r="D85" s="414"/>
      <c r="E85" s="414"/>
    </row>
    <row r="86" spans="3:5">
      <c r="C86" s="414"/>
      <c r="D86" s="414"/>
      <c r="E86" s="414"/>
    </row>
    <row r="87" spans="3:5">
      <c r="C87" s="414"/>
      <c r="D87" s="414"/>
      <c r="E87" s="414"/>
    </row>
    <row r="88" spans="3:5">
      <c r="C88" s="414"/>
      <c r="D88" s="414"/>
      <c r="E88" s="414"/>
    </row>
    <row r="89" spans="3:5">
      <c r="C89" s="414"/>
      <c r="D89" s="414"/>
      <c r="E89" s="414"/>
    </row>
    <row r="90" spans="3:5">
      <c r="C90" s="414"/>
      <c r="D90" s="414"/>
      <c r="E90" s="414"/>
    </row>
    <row r="91" spans="3:5">
      <c r="C91" s="414"/>
      <c r="D91" s="414"/>
      <c r="E91" s="414"/>
    </row>
    <row r="92" spans="3:5">
      <c r="C92" s="414"/>
      <c r="D92" s="414"/>
      <c r="E92" s="414"/>
    </row>
    <row r="93" spans="3:5">
      <c r="C93" s="414"/>
      <c r="D93" s="414"/>
      <c r="E93" s="414"/>
    </row>
    <row r="94" spans="3:5">
      <c r="C94" s="414"/>
      <c r="D94" s="414"/>
      <c r="E94" s="414"/>
    </row>
    <row r="95" spans="3:5">
      <c r="C95" s="414"/>
      <c r="D95" s="414"/>
      <c r="E95" s="414"/>
    </row>
    <row r="96" spans="3:5">
      <c r="C96" s="414"/>
      <c r="D96" s="414"/>
      <c r="E96" s="414"/>
    </row>
    <row r="97" spans="3:5">
      <c r="C97" s="414"/>
      <c r="D97" s="414"/>
      <c r="E97" s="414"/>
    </row>
    <row r="98" spans="3:5">
      <c r="C98" s="414"/>
      <c r="D98" s="414"/>
      <c r="E98" s="414"/>
    </row>
    <row r="99" spans="3:5">
      <c r="C99" s="414"/>
      <c r="D99" s="414"/>
      <c r="E99" s="414"/>
    </row>
    <row r="100" spans="3:5">
      <c r="C100" s="414"/>
      <c r="D100" s="414"/>
      <c r="E100" s="414"/>
    </row>
    <row r="101" spans="3:5">
      <c r="C101" s="414"/>
      <c r="D101" s="414"/>
      <c r="E101" s="414"/>
    </row>
    <row r="102" spans="3:5">
      <c r="C102" s="414"/>
      <c r="D102" s="414"/>
      <c r="E102" s="414"/>
    </row>
    <row r="103" spans="3:5">
      <c r="C103" s="414"/>
      <c r="D103" s="414"/>
      <c r="E103" s="414"/>
    </row>
    <row r="104" spans="3:5">
      <c r="C104" s="414"/>
      <c r="D104" s="414"/>
      <c r="E104" s="414"/>
    </row>
    <row r="105" spans="3:5">
      <c r="C105" s="414"/>
      <c r="D105" s="414"/>
      <c r="E105" s="414"/>
    </row>
    <row r="106" spans="3:5">
      <c r="C106" s="414"/>
      <c r="D106" s="414"/>
      <c r="E106" s="414"/>
    </row>
    <row r="107" spans="3:5">
      <c r="C107" s="414"/>
      <c r="D107" s="414"/>
      <c r="E107" s="414"/>
    </row>
    <row r="108" spans="3:5">
      <c r="C108" s="414"/>
      <c r="D108" s="414"/>
      <c r="E108" s="414"/>
    </row>
    <row r="109" spans="3:5">
      <c r="C109" s="414"/>
      <c r="D109" s="414"/>
      <c r="E109" s="414"/>
    </row>
    <row r="110" spans="3:5">
      <c r="C110" s="414"/>
      <c r="D110" s="414"/>
      <c r="E110" s="414"/>
    </row>
    <row r="111" spans="3:5">
      <c r="C111" s="414"/>
      <c r="D111" s="414"/>
      <c r="E111" s="414"/>
    </row>
    <row r="112" spans="3:5">
      <c r="C112" s="414"/>
      <c r="D112" s="414"/>
      <c r="E112" s="414"/>
    </row>
  </sheetData>
  <phoneticPr fontId="2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6"/>
  <sheetViews>
    <sheetView workbookViewId="0">
      <selection activeCell="E41" sqref="E41"/>
    </sheetView>
  </sheetViews>
  <sheetFormatPr baseColWidth="10" defaultColWidth="9" defaultRowHeight="14"/>
  <cols>
    <col min="2" max="2" width="25" customWidth="1"/>
    <col min="3" max="3" width="16.1640625"/>
    <col min="5" max="5" width="10.83203125" customWidth="1"/>
    <col min="8" max="12" width="9.6640625"/>
    <col min="13" max="13" width="12.6640625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>
      <c r="A2" s="2"/>
      <c r="B2" s="4" t="s">
        <v>0</v>
      </c>
      <c r="C2" s="62" t="s">
        <v>63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ht="17">
      <c r="A3" s="2"/>
      <c r="B3" s="7" t="s">
        <v>1</v>
      </c>
      <c r="C3" s="8">
        <v>0.25</v>
      </c>
      <c r="D3" s="38"/>
      <c r="E3" s="63" t="s">
        <v>2</v>
      </c>
      <c r="F3" s="64"/>
      <c r="G3" s="65"/>
      <c r="H3" s="38"/>
      <c r="I3" s="38"/>
      <c r="J3" s="38"/>
      <c r="K3" s="38"/>
      <c r="L3" s="38"/>
      <c r="M3" s="38"/>
      <c r="N3" s="38"/>
    </row>
    <row r="4" spans="1:14" ht="17">
      <c r="A4" s="2"/>
      <c r="B4" s="7" t="s">
        <v>3</v>
      </c>
      <c r="C4" s="67">
        <v>2.5000000000000001E-2</v>
      </c>
      <c r="D4" s="38"/>
      <c r="E4" s="68"/>
      <c r="F4" s="69"/>
      <c r="G4" s="70"/>
      <c r="H4" s="38"/>
      <c r="I4" s="38"/>
      <c r="J4" s="38"/>
      <c r="K4" s="38"/>
      <c r="L4" s="38"/>
      <c r="M4" s="38"/>
      <c r="N4" s="38"/>
    </row>
    <row r="5" spans="1:14" ht="17">
      <c r="A5" s="2"/>
      <c r="B5" s="17" t="s">
        <v>4</v>
      </c>
      <c r="C5" s="67">
        <v>0.1</v>
      </c>
      <c r="D5" s="38"/>
      <c r="E5" s="71"/>
      <c r="F5" s="69"/>
      <c r="G5" s="70"/>
      <c r="H5" s="38"/>
      <c r="I5" s="38"/>
      <c r="J5" s="38"/>
      <c r="K5" s="38"/>
      <c r="L5" s="38"/>
      <c r="M5" s="38"/>
      <c r="N5" s="38"/>
    </row>
    <row r="6" spans="1:14" ht="17">
      <c r="A6" s="2"/>
      <c r="B6" s="7" t="s">
        <v>5</v>
      </c>
      <c r="C6" s="67">
        <v>0.1</v>
      </c>
      <c r="D6" s="38"/>
      <c r="E6" s="468" t="s">
        <v>6</v>
      </c>
      <c r="F6" s="468"/>
      <c r="G6" s="468"/>
      <c r="H6" s="38"/>
      <c r="I6" s="38"/>
      <c r="J6" s="38"/>
      <c r="K6" s="38"/>
      <c r="L6" s="38"/>
      <c r="M6" s="38"/>
      <c r="N6" s="38"/>
    </row>
    <row r="7" spans="1:14" ht="17">
      <c r="A7" s="2"/>
      <c r="B7" s="7" t="s">
        <v>7</v>
      </c>
      <c r="C7" s="72">
        <v>0.20930000000000001</v>
      </c>
      <c r="D7" s="38"/>
      <c r="E7" s="73" t="s">
        <v>8</v>
      </c>
      <c r="F7" s="74" t="s">
        <v>9</v>
      </c>
      <c r="G7" s="75" t="s">
        <v>10</v>
      </c>
      <c r="H7" s="38"/>
      <c r="I7" s="38"/>
      <c r="J7" s="38"/>
      <c r="K7" s="38"/>
      <c r="L7" s="38"/>
      <c r="M7" s="38"/>
      <c r="N7" s="38"/>
    </row>
    <row r="8" spans="1:14" ht="15">
      <c r="A8" s="2"/>
      <c r="B8" s="24" t="s">
        <v>11</v>
      </c>
      <c r="C8" s="76">
        <v>0.05</v>
      </c>
      <c r="D8" s="38"/>
      <c r="E8" s="77">
        <f>E4*5/C21</f>
        <v>0</v>
      </c>
      <c r="F8" s="78">
        <f>E4*8.5/C21</f>
        <v>0</v>
      </c>
      <c r="G8" s="79">
        <f>E4*12/C21</f>
        <v>0</v>
      </c>
      <c r="H8" s="38"/>
      <c r="I8" s="38"/>
      <c r="J8" s="38"/>
      <c r="K8" s="38"/>
      <c r="L8" s="38"/>
      <c r="M8" s="38"/>
      <c r="N8" s="38"/>
    </row>
    <row r="9" spans="1:14">
      <c r="A9" s="2"/>
      <c r="B9" s="2"/>
      <c r="C9" s="2"/>
      <c r="D9" s="2"/>
      <c r="E9" s="2"/>
      <c r="F9" s="2"/>
      <c r="G9" s="2"/>
      <c r="H9" s="2"/>
      <c r="I9" s="38"/>
      <c r="J9" s="38"/>
      <c r="K9" s="38"/>
      <c r="L9" s="38"/>
      <c r="M9" s="38"/>
      <c r="N9" s="38"/>
    </row>
    <row r="10" spans="1:14">
      <c r="A10" s="2"/>
      <c r="B10" s="29" t="s">
        <v>12</v>
      </c>
      <c r="C10" s="80">
        <v>2022</v>
      </c>
      <c r="D10" s="29">
        <v>2023</v>
      </c>
      <c r="E10" s="29">
        <v>2024</v>
      </c>
      <c r="F10" s="29">
        <v>2025</v>
      </c>
      <c r="G10" s="29">
        <v>2026</v>
      </c>
      <c r="H10" s="29">
        <v>2027</v>
      </c>
      <c r="I10" s="29">
        <v>2028</v>
      </c>
      <c r="J10" s="29">
        <v>2029</v>
      </c>
      <c r="K10" s="29">
        <v>2030</v>
      </c>
      <c r="L10" s="29">
        <v>2031</v>
      </c>
      <c r="M10" s="29">
        <v>2032</v>
      </c>
      <c r="N10" s="38"/>
    </row>
    <row r="11" spans="1:14" ht="17">
      <c r="A11" s="2"/>
      <c r="B11" s="7" t="s">
        <v>13</v>
      </c>
      <c r="C11" s="81">
        <v>1935</v>
      </c>
      <c r="D11" s="82">
        <f>C11*(1+C3)</f>
        <v>2418.75</v>
      </c>
      <c r="E11" s="82">
        <f>D11*(1+$C$3)</f>
        <v>3023.4375</v>
      </c>
      <c r="F11" s="82">
        <f>E11*(1+$C$3)</f>
        <v>3779.296875</v>
      </c>
      <c r="G11" s="82">
        <f>F11*(1+$C$3)</f>
        <v>4724.12109375</v>
      </c>
      <c r="H11" s="82">
        <f>G11*(1+$C$3)</f>
        <v>5905.1513671875</v>
      </c>
      <c r="I11" s="82">
        <f>H11*(1+$C$8)</f>
        <v>6200.408935546875</v>
      </c>
      <c r="J11" s="82">
        <f>I11*(1+$C$8)</f>
        <v>6510.4293823242188</v>
      </c>
      <c r="K11" s="82">
        <f>J11*(1+$C$8)</f>
        <v>6835.9508514404297</v>
      </c>
      <c r="L11" s="82">
        <f>K11*(1+$C$8)</f>
        <v>7177.7483940124512</v>
      </c>
      <c r="M11" s="82">
        <f>L11*(1+$C$8)</f>
        <v>7536.6358137130737</v>
      </c>
      <c r="N11" s="38"/>
    </row>
    <row r="12" spans="1:14" ht="17">
      <c r="A12" s="2"/>
      <c r="B12" s="17" t="s">
        <v>14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97">
        <f>M11*(1+C4)/(C6-C4)</f>
        <v>103000.68945407865</v>
      </c>
      <c r="N12" s="38"/>
    </row>
    <row r="13" spans="1:14" ht="19">
      <c r="A13" s="2"/>
      <c r="B13" s="35" t="s">
        <v>15</v>
      </c>
      <c r="C13" s="83"/>
      <c r="D13" s="82">
        <f t="shared" ref="D13:L13" si="0">D11</f>
        <v>2418.75</v>
      </c>
      <c r="E13" s="82">
        <f t="shared" si="0"/>
        <v>3023.4375</v>
      </c>
      <c r="F13" s="82">
        <f t="shared" si="0"/>
        <v>3779.296875</v>
      </c>
      <c r="G13" s="82">
        <f t="shared" si="0"/>
        <v>4724.12109375</v>
      </c>
      <c r="H13" s="82">
        <f t="shared" si="0"/>
        <v>5905.1513671875</v>
      </c>
      <c r="I13" s="82">
        <f t="shared" si="0"/>
        <v>6200.408935546875</v>
      </c>
      <c r="J13" s="82">
        <f t="shared" si="0"/>
        <v>6510.4293823242188</v>
      </c>
      <c r="K13" s="82">
        <f t="shared" si="0"/>
        <v>6835.9508514404297</v>
      </c>
      <c r="L13" s="82">
        <f t="shared" si="0"/>
        <v>7177.7483940124512</v>
      </c>
      <c r="M13" s="97">
        <f>M11+M12</f>
        <v>110537.32526779172</v>
      </c>
      <c r="N13" s="38"/>
    </row>
    <row r="14" spans="1:14">
      <c r="A14" s="2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</row>
    <row r="15" spans="1:14">
      <c r="A15" s="2"/>
      <c r="B15" s="38"/>
      <c r="C15" s="38"/>
      <c r="D15" s="38"/>
      <c r="E15" s="85"/>
      <c r="F15" s="85"/>
      <c r="G15" s="85"/>
      <c r="H15" s="38"/>
      <c r="I15" s="38"/>
      <c r="J15" s="38"/>
      <c r="K15" s="38"/>
      <c r="L15" s="38"/>
      <c r="M15" s="38"/>
      <c r="N15" s="38"/>
    </row>
    <row r="16" spans="1:14" ht="24" customHeight="1">
      <c r="A16" s="2"/>
      <c r="B16" s="456" t="s">
        <v>16</v>
      </c>
      <c r="C16" s="456"/>
      <c r="D16" s="86"/>
      <c r="E16" s="469" t="s">
        <v>17</v>
      </c>
      <c r="F16" s="470">
        <f>C22</f>
        <v>195.15181805901469</v>
      </c>
      <c r="G16" s="470"/>
      <c r="H16" s="38"/>
      <c r="I16" s="38"/>
      <c r="J16" s="38"/>
      <c r="K16" s="38"/>
      <c r="L16" s="38"/>
      <c r="M16" s="38"/>
      <c r="N16" s="38"/>
    </row>
    <row r="17" spans="1:14" ht="17">
      <c r="A17" s="2"/>
      <c r="B17" s="41" t="s">
        <v>18</v>
      </c>
      <c r="C17" s="87">
        <f>NPV(C6,D13:M13)</f>
        <v>70121.147065930156</v>
      </c>
      <c r="D17" s="86"/>
      <c r="E17" s="470"/>
      <c r="F17" s="470"/>
      <c r="G17" s="470"/>
      <c r="H17" s="38"/>
      <c r="I17" s="38"/>
      <c r="J17" s="38"/>
      <c r="K17" s="38"/>
      <c r="L17" s="38"/>
      <c r="M17" s="38"/>
      <c r="N17" s="38"/>
    </row>
    <row r="18" spans="1:14" ht="17">
      <c r="A18" s="2"/>
      <c r="B18" s="43" t="s">
        <v>19</v>
      </c>
      <c r="C18" s="88">
        <v>13209</v>
      </c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</row>
    <row r="19" spans="1:14" ht="17">
      <c r="A19" s="2"/>
      <c r="B19" s="43" t="s">
        <v>20</v>
      </c>
      <c r="C19" s="81">
        <v>295</v>
      </c>
      <c r="D19" s="38"/>
      <c r="E19" s="89"/>
      <c r="F19" s="89"/>
      <c r="G19" s="89"/>
      <c r="H19" s="38"/>
      <c r="I19" s="38"/>
      <c r="J19" s="38"/>
      <c r="K19" s="38"/>
      <c r="L19" s="38"/>
      <c r="M19" s="38"/>
      <c r="N19" s="38"/>
    </row>
    <row r="20" spans="1:14" ht="15" customHeight="1">
      <c r="A20" s="2"/>
      <c r="B20" s="46" t="s">
        <v>21</v>
      </c>
      <c r="C20" s="29">
        <f>C17+C18-C19</f>
        <v>83035.147065930156</v>
      </c>
      <c r="D20" s="90"/>
      <c r="E20" s="471" t="s">
        <v>22</v>
      </c>
      <c r="F20" s="474">
        <v>132.25</v>
      </c>
      <c r="G20" s="474"/>
      <c r="H20" s="38"/>
      <c r="I20" s="38"/>
      <c r="J20" s="38"/>
      <c r="K20" s="38"/>
      <c r="L20" s="38"/>
      <c r="M20" s="38"/>
      <c r="N20" s="38"/>
    </row>
    <row r="21" spans="1:14" ht="17">
      <c r="A21" s="2"/>
      <c r="B21" s="48" t="s">
        <v>23</v>
      </c>
      <c r="C21" s="91">
        <v>425.49</v>
      </c>
      <c r="D21" s="90"/>
      <c r="E21" s="471"/>
      <c r="F21" s="474"/>
      <c r="G21" s="474"/>
      <c r="H21" s="38"/>
      <c r="I21" s="38"/>
      <c r="J21" s="38"/>
      <c r="K21" s="38"/>
      <c r="L21" s="38"/>
      <c r="M21" s="38"/>
      <c r="N21" s="38"/>
    </row>
    <row r="22" spans="1:14" ht="17">
      <c r="A22" s="50"/>
      <c r="B22" s="51" t="s">
        <v>24</v>
      </c>
      <c r="C22" s="92">
        <f>C20/C21</f>
        <v>195.15181805901469</v>
      </c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</row>
    <row r="23" spans="1:14" ht="17">
      <c r="A23" s="2"/>
      <c r="B23" s="43" t="s">
        <v>25</v>
      </c>
      <c r="C23" s="93">
        <v>132.25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</row>
    <row r="24" spans="1:14" ht="19">
      <c r="A24" s="2"/>
      <c r="B24" s="54" t="s">
        <v>26</v>
      </c>
      <c r="C24" s="94">
        <f>(C22-C23)/C23</f>
        <v>0.47562811386778592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17">
      <c r="A25" s="2"/>
      <c r="B25" s="56" t="s">
        <v>27</v>
      </c>
      <c r="C25" s="92" t="str">
        <f>IF(C24&gt;0,"BUY","SELL")</f>
        <v>BUY</v>
      </c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</row>
    <row r="26" spans="1:14">
      <c r="A26" s="2"/>
      <c r="B26" s="2"/>
      <c r="C26" s="2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</row>
  </sheetData>
  <mergeCells count="6">
    <mergeCell ref="E6:G6"/>
    <mergeCell ref="B16:C16"/>
    <mergeCell ref="E16:E17"/>
    <mergeCell ref="E20:E21"/>
    <mergeCell ref="F16:G17"/>
    <mergeCell ref="F20:G21"/>
  </mergeCells>
  <phoneticPr fontId="2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84</vt:i4>
      </vt:variant>
    </vt:vector>
  </HeadingPairs>
  <TitlesOfParts>
    <vt:vector size="84" baseType="lpstr">
      <vt:lpstr>DCF 5years</vt:lpstr>
      <vt:lpstr>EBITDA DCF</vt:lpstr>
      <vt:lpstr>DCF 10years 模板</vt:lpstr>
      <vt:lpstr>5年模板</vt:lpstr>
      <vt:lpstr>微软</vt:lpstr>
      <vt:lpstr>英伟达</vt:lpstr>
      <vt:lpstr>pdd</vt:lpstr>
      <vt:lpstr>BABA</vt:lpstr>
      <vt:lpstr>kanzhun</vt:lpstr>
      <vt:lpstr>石头科技</vt:lpstr>
      <vt:lpstr>兆易创新</vt:lpstr>
      <vt:lpstr>澜起科技</vt:lpstr>
      <vt:lpstr>Spotify</vt:lpstr>
      <vt:lpstr>MELI</vt:lpstr>
      <vt:lpstr>MongoDB</vt:lpstr>
      <vt:lpstr>CrowdStrike </vt:lpstr>
      <vt:lpstr>Palantir </vt:lpstr>
      <vt:lpstr>Block</vt:lpstr>
      <vt:lpstr>apple</vt:lpstr>
      <vt:lpstr>Qualcomm </vt:lpstr>
      <vt:lpstr>Broadcom </vt:lpstr>
      <vt:lpstr>chegg</vt:lpstr>
      <vt:lpstr>snowflake</vt:lpstr>
      <vt:lpstr>Deere</vt:lpstr>
      <vt:lpstr>Lulu</vt:lpstr>
      <vt:lpstr>Nike</vt:lpstr>
      <vt:lpstr>datadog</vt:lpstr>
      <vt:lpstr>Constellation</vt:lpstr>
      <vt:lpstr>Zoom</vt:lpstr>
      <vt:lpstr>Enphase</vt:lpstr>
      <vt:lpstr>App</vt:lpstr>
      <vt:lpstr>ANET</vt:lpstr>
      <vt:lpstr>高通</vt:lpstr>
      <vt:lpstr>AVGO</vt:lpstr>
      <vt:lpstr>ATAT 亚朵</vt:lpstr>
      <vt:lpstr>bilibili</vt:lpstr>
      <vt:lpstr>sheet</vt:lpstr>
      <vt:lpstr>NU</vt:lpstr>
      <vt:lpstr>DUO</vt:lpstr>
      <vt:lpstr>新东方</vt:lpstr>
      <vt:lpstr>小牛电动车</vt:lpstr>
      <vt:lpstr>蔚来</vt:lpstr>
      <vt:lpstr>理想</vt:lpstr>
      <vt:lpstr>REDDIT</vt:lpstr>
      <vt:lpstr>SOFI</vt:lpstr>
      <vt:lpstr>META EBITDA DCF</vt:lpstr>
      <vt:lpstr>LULU EBITDA</vt:lpstr>
      <vt:lpstr>META</vt:lpstr>
      <vt:lpstr>SHOP</vt:lpstr>
      <vt:lpstr>nee</vt:lpstr>
      <vt:lpstr>UIPATH</vt:lpstr>
      <vt:lpstr>PINS</vt:lpstr>
      <vt:lpstr>Pegasystems</vt:lpstr>
      <vt:lpstr>Innodata</vt:lpstr>
      <vt:lpstr>AMAZON</vt:lpstr>
      <vt:lpstr>泡泡玛特</vt:lpstr>
      <vt:lpstr>AMD</vt:lpstr>
      <vt:lpstr>CROX</vt:lpstr>
      <vt:lpstr>DELL</vt:lpstr>
      <vt:lpstr>CELH</vt:lpstr>
      <vt:lpstr>OPFI</vt:lpstr>
      <vt:lpstr>LRN</vt:lpstr>
      <vt:lpstr>AGX</vt:lpstr>
      <vt:lpstr>DXPE</vt:lpstr>
      <vt:lpstr>EAT</vt:lpstr>
      <vt:lpstr>UBER</vt:lpstr>
      <vt:lpstr>Affirm</vt:lpstr>
      <vt:lpstr>PSIX</vt:lpstr>
      <vt:lpstr>Vertiv</vt:lpstr>
      <vt:lpstr>TMDX</vt:lpstr>
      <vt:lpstr>LRN2</vt:lpstr>
      <vt:lpstr>WDC</vt:lpstr>
      <vt:lpstr>Marvell</vt:lpstr>
      <vt:lpstr>First Solar</vt:lpstr>
      <vt:lpstr>ZETA</vt:lpstr>
      <vt:lpstr>GLW</vt:lpstr>
      <vt:lpstr>Credo</vt:lpstr>
      <vt:lpstr>FIX</vt:lpstr>
      <vt:lpstr>EME</vt:lpstr>
      <vt:lpstr>UpStart</vt:lpstr>
      <vt:lpstr>PGY</vt:lpstr>
      <vt:lpstr>First Solar EBITDA DCF</vt:lpstr>
      <vt:lpstr>TMDX EBITDA</vt:lpstr>
      <vt:lpstr>PGY EBITDA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2023-05-12T11:15:00Z</dcterms:created>
  <dcterms:modified xsi:type="dcterms:W3CDTF">2025-11-19T01:45:38Z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2052-12.1.0.17140</vt:lpwstr>
  </property>
  <property fmtid="{D5CDD505-2E9C-101B-9397-08002B2CF9AE}" pid="3" name="ICV">
    <vt:lpwstr>82A194DC5BBC41D088A228F9F22E4ED3_12</vt:lpwstr>
  </property>
</Properties>
</file>